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richedacademy-my.sharepoint.com/personal/jay_enrichedacademy_com/Documents/Enriched Academy/Tools/English Tools/"/>
    </mc:Choice>
  </mc:AlternateContent>
  <xr:revisionPtr revIDLastSave="0" documentId="8_{21D4860D-D01D-4387-A674-AF0589E8F3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inancial Freedom Calculator" sheetId="4" r:id="rId1"/>
    <sheet name="Annual Breakdown" sheetId="5" r:id="rId2"/>
  </sheets>
  <definedNames>
    <definedName name="add_savings">'Financial Freedom Calculator'!$E$36</definedName>
    <definedName name="chart_label">OFFSET('Annual Breakdown'!$M$5,0,0,COUNT('Annual Breakdown'!$D:$D),1)</definedName>
    <definedName name="chart_portfolio">OFFSET('Annual Breakdown'!$I$5,0,0,COUNT('Annual Breakdown'!$D:$D),1)</definedName>
    <definedName name="current_portf">'Financial Freedom Calculator'!$E$16</definedName>
    <definedName name="deposits">'Financial Freedom Calculator'!$E$18</definedName>
    <definedName name="future_income">'Financial Freedom Calculator'!$E$29</definedName>
    <definedName name="home">'Annual Breakdown'!$A$1</definedName>
    <definedName name="Horz_labels">OFFSET('Annual Breakdown'!$F$5,0,0,COUNT('Annual Breakdown'!$D:$D),2)</definedName>
    <definedName name="income_withdrawal">OFFSET('Annual Breakdown'!$H$5,0,0,COUNT('Annual Breakdown'!$D:$D),1)</definedName>
    <definedName name="inflation_rate">'Financial Freedom Calculator'!$E$22</definedName>
    <definedName name="life_span">'Financial Freedom Calculator'!$E$10</definedName>
    <definedName name="portfolio">OFFSET('Annual Breakdown'!$K$5,0,0,COUNT('Annual Breakdown'!$D:$D),1)</definedName>
    <definedName name="portfolio_neg">OFFSET('Annual Breakdown'!$L$5,0,0,COUNT('Annual Breakdown'!$D:$D),1)</definedName>
    <definedName name="return_rate">'Financial Freedom Calculator'!$E$20</definedName>
    <definedName name="splitline">OFFSET('Annual Breakdown'!$F$5,0,0,((COUNT(Years)/(years_left+1))*50),1)</definedName>
    <definedName name="splitline_value">OFFSET('Annual Breakdown'!$K$5,0,0,50*( (life_span+years_left+3)/(years_left+1)),1)</definedName>
    <definedName name="whatuneed">OFFSET('Annual Breakdown'!$J$5,0,0,COUNT('Annual Breakdown'!$D:$D),1)</definedName>
    <definedName name="Years">OFFSET('Annual Breakdown'!$D$5,0,0,COUNT('Annual Breakdown'!$D:$D),2)</definedName>
    <definedName name="years_chart">OFFSET('Annual Breakdown'!$G$5,0,0,COUNT('Annual Breakdown'!$D:$D),1)</definedName>
    <definedName name="years_left">'Financial Freedom Calculator'!$E$12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5" l="1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E27" i="4" l="1"/>
  <c r="J5" i="5" l="1"/>
  <c r="I5" i="5" l="1"/>
  <c r="L5" i="5" s="1"/>
  <c r="E12" i="4"/>
  <c r="E29" i="4" s="1"/>
  <c r="D5" i="5" l="1"/>
  <c r="D6" i="5" s="1"/>
  <c r="E33" i="4"/>
  <c r="G5" i="5" l="1"/>
  <c r="E5" i="5"/>
  <c r="F5" i="5" s="1"/>
  <c r="E6" i="5"/>
  <c r="G6" i="5"/>
  <c r="K5" i="5"/>
  <c r="H5" i="5"/>
  <c r="H6" i="5" s="1"/>
  <c r="I6" i="5" s="1"/>
  <c r="D7" i="5"/>
  <c r="E32" i="4"/>
  <c r="E7" i="5" l="1"/>
  <c r="H7" i="5"/>
  <c r="I7" i="5" s="1"/>
  <c r="D8" i="5"/>
  <c r="E8" i="5" s="1"/>
  <c r="G7" i="5"/>
  <c r="E36" i="4"/>
  <c r="E34" i="4"/>
  <c r="K6" i="5"/>
  <c r="E37" i="4" l="1"/>
  <c r="E39" i="4" s="1"/>
  <c r="H32" i="4" s="1"/>
  <c r="J6" i="5"/>
  <c r="J7" i="5" s="1"/>
  <c r="G8" i="5"/>
  <c r="D9" i="5"/>
  <c r="E9" i="5" s="1"/>
  <c r="L6" i="5"/>
  <c r="H8" i="5"/>
  <c r="I8" i="5" s="1"/>
  <c r="E35" i="4"/>
  <c r="K7" i="5"/>
  <c r="J8" i="5" l="1"/>
  <c r="D10" i="5"/>
  <c r="E10" i="5" s="1"/>
  <c r="G9" i="5"/>
  <c r="H9" i="5"/>
  <c r="I9" i="5" s="1"/>
  <c r="L7" i="5"/>
  <c r="M5" i="5"/>
  <c r="M6" i="5"/>
  <c r="K8" i="5"/>
  <c r="J9" i="5" l="1"/>
  <c r="G10" i="5"/>
  <c r="D11" i="5"/>
  <c r="E11" i="5" s="1"/>
  <c r="H10" i="5"/>
  <c r="I10" i="5" s="1"/>
  <c r="L8" i="5"/>
  <c r="M7" i="5"/>
  <c r="K9" i="5"/>
  <c r="J10" i="5" l="1"/>
  <c r="H11" i="5"/>
  <c r="G11" i="5"/>
  <c r="D12" i="5"/>
  <c r="L9" i="5"/>
  <c r="M8" i="5"/>
  <c r="J11" i="5" l="1"/>
  <c r="E12" i="5"/>
  <c r="H12" i="5"/>
  <c r="D13" i="5"/>
  <c r="G12" i="5"/>
  <c r="I11" i="5"/>
  <c r="L10" i="5"/>
  <c r="K10" i="5"/>
  <c r="M9" i="5"/>
  <c r="J12" i="5" l="1"/>
  <c r="I12" i="5"/>
  <c r="K11" i="5"/>
  <c r="E13" i="5"/>
  <c r="H13" i="5"/>
  <c r="D14" i="5"/>
  <c r="G13" i="5"/>
  <c r="L11" i="5"/>
  <c r="I13" i="5" l="1"/>
  <c r="K13" i="5" s="1"/>
  <c r="E14" i="5"/>
  <c r="G14" i="5"/>
  <c r="H14" i="5"/>
  <c r="D15" i="5"/>
  <c r="J13" i="5"/>
  <c r="J14" i="5" s="1"/>
  <c r="L12" i="5"/>
  <c r="K12" i="5"/>
  <c r="M11" i="5"/>
  <c r="M10" i="5"/>
  <c r="I14" i="5" l="1"/>
  <c r="K14" i="5" s="1"/>
  <c r="E15" i="5"/>
  <c r="G15" i="5"/>
  <c r="H15" i="5"/>
  <c r="J15" i="5" s="1"/>
  <c r="D16" i="5"/>
  <c r="L13" i="5"/>
  <c r="E16" i="5" l="1"/>
  <c r="H16" i="5"/>
  <c r="J16" i="5" s="1"/>
  <c r="D17" i="5"/>
  <c r="G16" i="5"/>
  <c r="I15" i="5"/>
  <c r="I16" i="5" s="1"/>
  <c r="L14" i="5"/>
  <c r="M12" i="5"/>
  <c r="K15" i="5" l="1"/>
  <c r="E17" i="5"/>
  <c r="H17" i="5"/>
  <c r="J17" i="5" s="1"/>
  <c r="G17" i="5"/>
  <c r="D18" i="5"/>
  <c r="L15" i="5"/>
  <c r="M13" i="5"/>
  <c r="K16" i="5"/>
  <c r="I17" i="5" l="1"/>
  <c r="K17" i="5" s="1"/>
  <c r="E18" i="5"/>
  <c r="H18" i="5"/>
  <c r="J18" i="5" s="1"/>
  <c r="D19" i="5"/>
  <c r="G18" i="5"/>
  <c r="L16" i="5"/>
  <c r="E19" i="5" l="1"/>
  <c r="H19" i="5"/>
  <c r="J19" i="5" s="1"/>
  <c r="G19" i="5"/>
  <c r="D20" i="5"/>
  <c r="I18" i="5"/>
  <c r="I19" i="5" s="1"/>
  <c r="L17" i="5"/>
  <c r="M15" i="5"/>
  <c r="K18" i="5" l="1"/>
  <c r="E20" i="5"/>
  <c r="H20" i="5"/>
  <c r="J20" i="5" s="1"/>
  <c r="G20" i="5"/>
  <c r="D21" i="5"/>
  <c r="I20" i="5"/>
  <c r="L18" i="5"/>
  <c r="M16" i="5"/>
  <c r="K19" i="5"/>
  <c r="E21" i="5" l="1"/>
  <c r="H21" i="5"/>
  <c r="J21" i="5" s="1"/>
  <c r="D22" i="5"/>
  <c r="G21" i="5"/>
  <c r="L19" i="5"/>
  <c r="M17" i="5"/>
  <c r="K20" i="5"/>
  <c r="I21" i="5" l="1"/>
  <c r="K21" i="5" s="1"/>
  <c r="E22" i="5"/>
  <c r="D23" i="5"/>
  <c r="H22" i="5"/>
  <c r="G22" i="5"/>
  <c r="L20" i="5"/>
  <c r="M18" i="5"/>
  <c r="J22" i="5" l="1"/>
  <c r="I22" i="5"/>
  <c r="E23" i="5"/>
  <c r="H23" i="5"/>
  <c r="G23" i="5"/>
  <c r="D24" i="5"/>
  <c r="L21" i="5"/>
  <c r="M19" i="5"/>
  <c r="J23" i="5" l="1"/>
  <c r="I23" i="5"/>
  <c r="I24" i="5" s="1"/>
  <c r="K22" i="5"/>
  <c r="E24" i="5"/>
  <c r="H24" i="5"/>
  <c r="J24" i="5" s="1"/>
  <c r="D25" i="5"/>
  <c r="G24" i="5"/>
  <c r="L22" i="5"/>
  <c r="K23" i="5" l="1"/>
  <c r="E25" i="5"/>
  <c r="H25" i="5"/>
  <c r="G25" i="5"/>
  <c r="D26" i="5"/>
  <c r="L23" i="5"/>
  <c r="M21" i="5"/>
  <c r="K24" i="5"/>
  <c r="J25" i="5" l="1"/>
  <c r="I25" i="5"/>
  <c r="E26" i="5"/>
  <c r="H26" i="5"/>
  <c r="D27" i="5"/>
  <c r="G26" i="5"/>
  <c r="L24" i="5"/>
  <c r="M22" i="5"/>
  <c r="K25" i="5" l="1"/>
  <c r="J26" i="5"/>
  <c r="I26" i="5"/>
  <c r="E27" i="5"/>
  <c r="H27" i="5"/>
  <c r="G27" i="5"/>
  <c r="D28" i="5"/>
  <c r="L25" i="5"/>
  <c r="M23" i="5"/>
  <c r="K26" i="5" l="1"/>
  <c r="J27" i="5"/>
  <c r="E28" i="5"/>
  <c r="D29" i="5"/>
  <c r="H28" i="5"/>
  <c r="G28" i="5"/>
  <c r="I27" i="5"/>
  <c r="I28" i="5" s="1"/>
  <c r="L26" i="5"/>
  <c r="M24" i="5"/>
  <c r="J28" i="5" l="1"/>
  <c r="K27" i="5"/>
  <c r="E29" i="5"/>
  <c r="H29" i="5"/>
  <c r="G29" i="5"/>
  <c r="D30" i="5"/>
  <c r="L27" i="5"/>
  <c r="M25" i="5"/>
  <c r="K28" i="5"/>
  <c r="J29" i="5" l="1"/>
  <c r="J30" i="5" s="1"/>
  <c r="E30" i="5"/>
  <c r="D31" i="5"/>
  <c r="H30" i="5"/>
  <c r="G30" i="5"/>
  <c r="I29" i="5"/>
  <c r="L28" i="5"/>
  <c r="M26" i="5"/>
  <c r="I30" i="5" l="1"/>
  <c r="K29" i="5"/>
  <c r="E31" i="5"/>
  <c r="G31" i="5"/>
  <c r="H31" i="5"/>
  <c r="J31" i="5" s="1"/>
  <c r="D32" i="5"/>
  <c r="L29" i="5"/>
  <c r="M27" i="5"/>
  <c r="E32" i="5" l="1"/>
  <c r="H32" i="5"/>
  <c r="G32" i="5"/>
  <c r="D33" i="5"/>
  <c r="J32" i="5"/>
  <c r="I31" i="5"/>
  <c r="I32" i="5" s="1"/>
  <c r="L30" i="5"/>
  <c r="K30" i="5"/>
  <c r="M29" i="5"/>
  <c r="K31" i="5" l="1"/>
  <c r="E33" i="5"/>
  <c r="G33" i="5"/>
  <c r="H33" i="5"/>
  <c r="J33" i="5" s="1"/>
  <c r="D34" i="5"/>
  <c r="L31" i="5"/>
  <c r="K32" i="5"/>
  <c r="E34" i="5" l="1"/>
  <c r="G34" i="5"/>
  <c r="H34" i="5"/>
  <c r="J34" i="5" s="1"/>
  <c r="D35" i="5"/>
  <c r="I33" i="5"/>
  <c r="L32" i="5"/>
  <c r="M30" i="5"/>
  <c r="I34" i="5" l="1"/>
  <c r="K34" i="5" s="1"/>
  <c r="K33" i="5"/>
  <c r="E35" i="5"/>
  <c r="H35" i="5"/>
  <c r="J35" i="5" s="1"/>
  <c r="G35" i="5"/>
  <c r="D36" i="5"/>
  <c r="L33" i="5"/>
  <c r="M31" i="5"/>
  <c r="E36" i="5" l="1"/>
  <c r="D37" i="5"/>
  <c r="H36" i="5"/>
  <c r="J36" i="5" s="1"/>
  <c r="G36" i="5"/>
  <c r="I35" i="5"/>
  <c r="I36" i="5" s="1"/>
  <c r="L34" i="5"/>
  <c r="K35" i="5" l="1"/>
  <c r="E37" i="5"/>
  <c r="D38" i="5"/>
  <c r="G37" i="5"/>
  <c r="H37" i="5"/>
  <c r="J37" i="5" s="1"/>
  <c r="L35" i="5"/>
  <c r="M33" i="5"/>
  <c r="K36" i="5"/>
  <c r="E38" i="5" l="1"/>
  <c r="H38" i="5"/>
  <c r="J38" i="5" s="1"/>
  <c r="D39" i="5"/>
  <c r="G38" i="5"/>
  <c r="I37" i="5"/>
  <c r="I38" i="5" s="1"/>
  <c r="L36" i="5"/>
  <c r="M34" i="5"/>
  <c r="K37" i="5" l="1"/>
  <c r="E39" i="5"/>
  <c r="G39" i="5"/>
  <c r="H39" i="5"/>
  <c r="I39" i="5" s="1"/>
  <c r="D40" i="5"/>
  <c r="L37" i="5"/>
  <c r="M36" i="5"/>
  <c r="K38" i="5"/>
  <c r="E40" i="5" l="1"/>
  <c r="D41" i="5"/>
  <c r="H40" i="5"/>
  <c r="G40" i="5"/>
  <c r="J39" i="5"/>
  <c r="J40" i="5" s="1"/>
  <c r="I40" i="5"/>
  <c r="L38" i="5"/>
  <c r="K39" i="5"/>
  <c r="E41" i="5" l="1"/>
  <c r="H41" i="5"/>
  <c r="I41" i="5" s="1"/>
  <c r="D42" i="5"/>
  <c r="G41" i="5"/>
  <c r="L39" i="5"/>
  <c r="M38" i="5"/>
  <c r="E42" i="5" l="1"/>
  <c r="H42" i="5"/>
  <c r="I42" i="5" s="1"/>
  <c r="G42" i="5"/>
  <c r="D43" i="5"/>
  <c r="J41" i="5"/>
  <c r="J42" i="5" s="1"/>
  <c r="L40" i="5"/>
  <c r="K40" i="5"/>
  <c r="M39" i="5"/>
  <c r="K41" i="5"/>
  <c r="E43" i="5" l="1"/>
  <c r="H43" i="5"/>
  <c r="I43" i="5" s="1"/>
  <c r="G43" i="5"/>
  <c r="D44" i="5"/>
  <c r="L41" i="5"/>
  <c r="M40" i="5"/>
  <c r="K42" i="5"/>
  <c r="E44" i="5" l="1"/>
  <c r="H44" i="5"/>
  <c r="I44" i="5" s="1"/>
  <c r="D45" i="5"/>
  <c r="G44" i="5"/>
  <c r="J43" i="5"/>
  <c r="J44" i="5" s="1"/>
  <c r="L42" i="5"/>
  <c r="E45" i="5" l="1"/>
  <c r="G45" i="5"/>
  <c r="H45" i="5"/>
  <c r="I45" i="5" s="1"/>
  <c r="D46" i="5"/>
  <c r="L43" i="5"/>
  <c r="K43" i="5"/>
  <c r="K44" i="5"/>
  <c r="E46" i="5" l="1"/>
  <c r="G46" i="5"/>
  <c r="H46" i="5"/>
  <c r="I46" i="5" s="1"/>
  <c r="D47" i="5"/>
  <c r="J45" i="5"/>
  <c r="J46" i="5" s="1"/>
  <c r="L44" i="5"/>
  <c r="M44" i="5" s="1"/>
  <c r="K45" i="5"/>
  <c r="E47" i="5" l="1"/>
  <c r="H47" i="5"/>
  <c r="I47" i="5" s="1"/>
  <c r="D48" i="5"/>
  <c r="G47" i="5"/>
  <c r="L45" i="5"/>
  <c r="K46" i="5"/>
  <c r="H48" i="5" l="1"/>
  <c r="I48" i="5" s="1"/>
  <c r="D49" i="5"/>
  <c r="G48" i="5"/>
  <c r="E48" i="5"/>
  <c r="J47" i="5"/>
  <c r="J48" i="5" s="1"/>
  <c r="L46" i="5"/>
  <c r="K47" i="5"/>
  <c r="E49" i="5" l="1"/>
  <c r="H49" i="5"/>
  <c r="I49" i="5" s="1"/>
  <c r="G49" i="5"/>
  <c r="D50" i="5"/>
  <c r="L47" i="5"/>
  <c r="K48" i="5"/>
  <c r="E50" i="5" l="1"/>
  <c r="H50" i="5"/>
  <c r="I50" i="5" s="1"/>
  <c r="D51" i="5"/>
  <c r="G50" i="5"/>
  <c r="J49" i="5"/>
  <c r="J50" i="5" s="1"/>
  <c r="L48" i="5"/>
  <c r="K49" i="5"/>
  <c r="G51" i="5" l="1"/>
  <c r="E51" i="5"/>
  <c r="H51" i="5"/>
  <c r="I51" i="5" s="1"/>
  <c r="D52" i="5"/>
  <c r="L49" i="5"/>
  <c r="M47" i="5"/>
  <c r="K50" i="5"/>
  <c r="E52" i="5" l="1"/>
  <c r="G52" i="5"/>
  <c r="D53" i="5"/>
  <c r="H52" i="5"/>
  <c r="I52" i="5" s="1"/>
  <c r="J51" i="5"/>
  <c r="J52" i="5" s="1"/>
  <c r="L50" i="5"/>
  <c r="M48" i="5"/>
  <c r="K51" i="5"/>
  <c r="E53" i="5" l="1"/>
  <c r="H53" i="5"/>
  <c r="I53" i="5" s="1"/>
  <c r="D54" i="5"/>
  <c r="G53" i="5"/>
  <c r="L51" i="5"/>
  <c r="M49" i="5"/>
  <c r="K52" i="5"/>
  <c r="H54" i="5" l="1"/>
  <c r="I54" i="5" s="1"/>
  <c r="D55" i="5"/>
  <c r="E54" i="5"/>
  <c r="G54" i="5"/>
  <c r="J53" i="5"/>
  <c r="J54" i="5" s="1"/>
  <c r="L52" i="5"/>
  <c r="M50" i="5"/>
  <c r="K53" i="5"/>
  <c r="E55" i="5" l="1"/>
  <c r="H55" i="5"/>
  <c r="I55" i="5" s="1"/>
  <c r="D56" i="5"/>
  <c r="G55" i="5"/>
  <c r="L53" i="5"/>
  <c r="M51" i="5"/>
  <c r="K54" i="5"/>
  <c r="J55" i="5" l="1"/>
  <c r="H56" i="5"/>
  <c r="I56" i="5" s="1"/>
  <c r="D57" i="5"/>
  <c r="E56" i="5"/>
  <c r="G56" i="5"/>
  <c r="L54" i="5"/>
  <c r="K55" i="5"/>
  <c r="J56" i="5" l="1"/>
  <c r="G57" i="5"/>
  <c r="E57" i="5"/>
  <c r="D58" i="5"/>
  <c r="H57" i="5"/>
  <c r="I57" i="5" s="1"/>
  <c r="L55" i="5"/>
  <c r="M53" i="5"/>
  <c r="K56" i="5"/>
  <c r="J57" i="5" l="1"/>
  <c r="H58" i="5"/>
  <c r="J58" i="5" s="1"/>
  <c r="G58" i="5"/>
  <c r="E58" i="5"/>
  <c r="D59" i="5"/>
  <c r="L56" i="5"/>
  <c r="K57" i="5"/>
  <c r="I58" i="5" l="1"/>
  <c r="K58" i="5" s="1"/>
  <c r="E59" i="5"/>
  <c r="D60" i="5"/>
  <c r="H59" i="5"/>
  <c r="G59" i="5"/>
  <c r="L57" i="5"/>
  <c r="I59" i="5" l="1"/>
  <c r="J59" i="5"/>
  <c r="G60" i="5"/>
  <c r="E60" i="5"/>
  <c r="H60" i="5"/>
  <c r="I60" i="5" s="1"/>
  <c r="D61" i="5"/>
  <c r="L58" i="5"/>
  <c r="K59" i="5"/>
  <c r="J60" i="5" l="1"/>
  <c r="E61" i="5"/>
  <c r="D62" i="5"/>
  <c r="H61" i="5"/>
  <c r="I61" i="5" s="1"/>
  <c r="G61" i="5"/>
  <c r="L59" i="5"/>
  <c r="M57" i="5"/>
  <c r="K60" i="5"/>
  <c r="J61" i="5" l="1"/>
  <c r="H62" i="5"/>
  <c r="E62" i="5"/>
  <c r="G62" i="5"/>
  <c r="D63" i="5"/>
  <c r="I62" i="5"/>
  <c r="J62" i="5"/>
  <c r="L60" i="5"/>
  <c r="M58" i="5"/>
  <c r="K61" i="5"/>
  <c r="E63" i="5" l="1"/>
  <c r="H63" i="5"/>
  <c r="I63" i="5" s="1"/>
  <c r="G63" i="5"/>
  <c r="D64" i="5"/>
  <c r="J63" i="5"/>
  <c r="L61" i="5"/>
  <c r="M59" i="5"/>
  <c r="K62" i="5"/>
  <c r="G64" i="5" l="1"/>
  <c r="D65" i="5"/>
  <c r="E64" i="5"/>
  <c r="H64" i="5"/>
  <c r="I64" i="5" s="1"/>
  <c r="J64" i="5"/>
  <c r="L62" i="5"/>
  <c r="M60" i="5"/>
  <c r="K63" i="5"/>
  <c r="E65" i="5" l="1"/>
  <c r="G65" i="5"/>
  <c r="H65" i="5"/>
  <c r="I65" i="5" s="1"/>
  <c r="D66" i="5"/>
  <c r="J65" i="5"/>
  <c r="L63" i="5"/>
  <c r="M61" i="5"/>
  <c r="K64" i="5"/>
  <c r="G66" i="5" l="1"/>
  <c r="D67" i="5"/>
  <c r="E66" i="5"/>
  <c r="H66" i="5"/>
  <c r="I66" i="5" s="1"/>
  <c r="J66" i="5"/>
  <c r="L64" i="5"/>
  <c r="M62" i="5"/>
  <c r="K65" i="5"/>
  <c r="H67" i="5" l="1"/>
  <c r="I67" i="5" s="1"/>
  <c r="G67" i="5"/>
  <c r="D68" i="5"/>
  <c r="E67" i="5"/>
  <c r="J67" i="5"/>
  <c r="L65" i="5"/>
  <c r="M63" i="5"/>
  <c r="K66" i="5"/>
  <c r="E68" i="5" l="1"/>
  <c r="H68" i="5"/>
  <c r="I68" i="5" s="1"/>
  <c r="D69" i="5"/>
  <c r="G68" i="5"/>
  <c r="J68" i="5"/>
  <c r="L66" i="5"/>
  <c r="M64" i="5"/>
  <c r="K67" i="5"/>
  <c r="H69" i="5" l="1"/>
  <c r="J69" i="5" s="1"/>
  <c r="G69" i="5"/>
  <c r="E69" i="5"/>
  <c r="D70" i="5"/>
  <c r="I69" i="5"/>
  <c r="L67" i="5"/>
  <c r="M65" i="5"/>
  <c r="K68" i="5"/>
  <c r="G70" i="5" l="1"/>
  <c r="E70" i="5"/>
  <c r="H70" i="5"/>
  <c r="J70" i="5" s="1"/>
  <c r="D71" i="5"/>
  <c r="I70" i="5"/>
  <c r="L68" i="5"/>
  <c r="M66" i="5"/>
  <c r="K69" i="5"/>
  <c r="E71" i="5" l="1"/>
  <c r="G71" i="5"/>
  <c r="H71" i="5"/>
  <c r="J71" i="5" s="1"/>
  <c r="D72" i="5"/>
  <c r="I71" i="5"/>
  <c r="L69" i="5"/>
  <c r="M67" i="5"/>
  <c r="M68" i="5"/>
  <c r="K70" i="5"/>
  <c r="E72" i="5" l="1"/>
  <c r="G72" i="5"/>
  <c r="D73" i="5"/>
  <c r="H72" i="5"/>
  <c r="J72" i="5" s="1"/>
  <c r="I72" i="5"/>
  <c r="L70" i="5"/>
  <c r="K71" i="5"/>
  <c r="D74" i="5" l="1"/>
  <c r="G73" i="5"/>
  <c r="H73" i="5"/>
  <c r="J73" i="5" s="1"/>
  <c r="E73" i="5"/>
  <c r="I73" i="5"/>
  <c r="L71" i="5"/>
  <c r="M69" i="5"/>
  <c r="K72" i="5"/>
  <c r="E74" i="5" l="1"/>
  <c r="H74" i="5"/>
  <c r="J74" i="5" s="1"/>
  <c r="D75" i="5"/>
  <c r="G74" i="5"/>
  <c r="I74" i="5"/>
  <c r="L72" i="5"/>
  <c r="M70" i="5"/>
  <c r="M71" i="5"/>
  <c r="K73" i="5"/>
  <c r="G75" i="5" l="1"/>
  <c r="H75" i="5"/>
  <c r="J75" i="5" s="1"/>
  <c r="E75" i="5"/>
  <c r="D76" i="5"/>
  <c r="I75" i="5"/>
  <c r="L73" i="5"/>
  <c r="K74" i="5"/>
  <c r="D77" i="5" l="1"/>
  <c r="E76" i="5"/>
  <c r="H76" i="5"/>
  <c r="J76" i="5" s="1"/>
  <c r="G76" i="5"/>
  <c r="I76" i="5"/>
  <c r="L74" i="5"/>
  <c r="M72" i="5"/>
  <c r="K75" i="5"/>
  <c r="E77" i="5" l="1"/>
  <c r="H77" i="5"/>
  <c r="J77" i="5" s="1"/>
  <c r="G77" i="5"/>
  <c r="D78" i="5"/>
  <c r="I77" i="5"/>
  <c r="L75" i="5"/>
  <c r="M73" i="5"/>
  <c r="K76" i="5"/>
  <c r="E78" i="5" l="1"/>
  <c r="D79" i="5"/>
  <c r="H78" i="5"/>
  <c r="J78" i="5" s="1"/>
  <c r="G78" i="5"/>
  <c r="I78" i="5"/>
  <c r="L76" i="5"/>
  <c r="M74" i="5"/>
  <c r="K77" i="5"/>
  <c r="E79" i="5" l="1"/>
  <c r="G79" i="5"/>
  <c r="H79" i="5"/>
  <c r="I79" i="5" s="1"/>
  <c r="J79" i="5"/>
  <c r="D80" i="5"/>
  <c r="L77" i="5"/>
  <c r="M75" i="5"/>
  <c r="K78" i="5"/>
  <c r="E80" i="5" l="1"/>
  <c r="H80" i="5"/>
  <c r="I80" i="5" s="1"/>
  <c r="J80" i="5"/>
  <c r="D81" i="5"/>
  <c r="G80" i="5"/>
  <c r="L78" i="5"/>
  <c r="M76" i="5"/>
  <c r="K79" i="5"/>
  <c r="E81" i="5" l="1"/>
  <c r="G81" i="5"/>
  <c r="J81" i="5"/>
  <c r="H81" i="5"/>
  <c r="I81" i="5" s="1"/>
  <c r="D82" i="5"/>
  <c r="L79" i="5"/>
  <c r="M77" i="5"/>
  <c r="K80" i="5"/>
  <c r="H82" i="5" l="1"/>
  <c r="J82" i="5" s="1"/>
  <c r="G82" i="5"/>
  <c r="E82" i="5"/>
  <c r="D83" i="5"/>
  <c r="I82" i="5"/>
  <c r="L80" i="5"/>
  <c r="M78" i="5"/>
  <c r="K81" i="5"/>
  <c r="D84" i="5" l="1"/>
  <c r="E83" i="5"/>
  <c r="H83" i="5"/>
  <c r="J83" i="5" s="1"/>
  <c r="G83" i="5"/>
  <c r="I83" i="5"/>
  <c r="L81" i="5"/>
  <c r="M79" i="5"/>
  <c r="K82" i="5"/>
  <c r="E84" i="5" l="1"/>
  <c r="D85" i="5"/>
  <c r="H84" i="5"/>
  <c r="J84" i="5" s="1"/>
  <c r="G84" i="5"/>
  <c r="I84" i="5"/>
  <c r="L82" i="5"/>
  <c r="M80" i="5"/>
  <c r="K83" i="5"/>
  <c r="E85" i="5" l="1"/>
  <c r="J85" i="5"/>
  <c r="D86" i="5"/>
  <c r="H85" i="5"/>
  <c r="I85" i="5" s="1"/>
  <c r="G85" i="5"/>
  <c r="L83" i="5"/>
  <c r="M81" i="5"/>
  <c r="K84" i="5"/>
  <c r="E86" i="5" l="1"/>
  <c r="G86" i="5"/>
  <c r="D87" i="5"/>
  <c r="H86" i="5"/>
  <c r="J86" i="5" s="1"/>
  <c r="I86" i="5"/>
  <c r="L84" i="5"/>
  <c r="M82" i="5"/>
  <c r="K85" i="5"/>
  <c r="E87" i="5" l="1"/>
  <c r="G87" i="5"/>
  <c r="J87" i="5"/>
  <c r="D88" i="5"/>
  <c r="H87" i="5"/>
  <c r="I87" i="5" s="1"/>
  <c r="L85" i="5"/>
  <c r="M83" i="5"/>
  <c r="K86" i="5"/>
  <c r="J88" i="5" l="1"/>
  <c r="E88" i="5"/>
  <c r="H88" i="5"/>
  <c r="I88" i="5" s="1"/>
  <c r="G88" i="5"/>
  <c r="D89" i="5"/>
  <c r="L86" i="5"/>
  <c r="M84" i="5"/>
  <c r="K87" i="5"/>
  <c r="D90" i="5" l="1"/>
  <c r="G89" i="5"/>
  <c r="E89" i="5"/>
  <c r="H89" i="5"/>
  <c r="J89" i="5" s="1"/>
  <c r="I89" i="5"/>
  <c r="L87" i="5"/>
  <c r="M85" i="5"/>
  <c r="K88" i="5"/>
  <c r="E90" i="5" l="1"/>
  <c r="G90" i="5"/>
  <c r="H90" i="5"/>
  <c r="I90" i="5" s="1"/>
  <c r="J90" i="5"/>
  <c r="D91" i="5"/>
  <c r="L88" i="5"/>
  <c r="M86" i="5"/>
  <c r="K89" i="5"/>
  <c r="E91" i="5" l="1"/>
  <c r="H91" i="5"/>
  <c r="I91" i="5" s="1"/>
  <c r="J91" i="5"/>
  <c r="G91" i="5"/>
  <c r="D92" i="5"/>
  <c r="L89" i="5"/>
  <c r="M87" i="5"/>
  <c r="K90" i="5"/>
  <c r="E92" i="5" l="1"/>
  <c r="H92" i="5"/>
  <c r="J92" i="5" s="1"/>
  <c r="D93" i="5"/>
  <c r="G92" i="5"/>
  <c r="I92" i="5"/>
  <c r="L90" i="5"/>
  <c r="M88" i="5"/>
  <c r="K91" i="5"/>
  <c r="H93" i="5" l="1"/>
  <c r="I93" i="5" s="1"/>
  <c r="E93" i="5"/>
  <c r="G93" i="5"/>
  <c r="D94" i="5"/>
  <c r="J93" i="5"/>
  <c r="L91" i="5"/>
  <c r="M89" i="5"/>
  <c r="K92" i="5"/>
  <c r="E94" i="5" l="1"/>
  <c r="G94" i="5"/>
  <c r="H94" i="5"/>
  <c r="J94" i="5" s="1"/>
  <c r="D95" i="5"/>
  <c r="I94" i="5"/>
  <c r="L92" i="5"/>
  <c r="M90" i="5"/>
  <c r="K93" i="5"/>
  <c r="E95" i="5" l="1"/>
  <c r="G95" i="5"/>
  <c r="J95" i="5"/>
  <c r="H95" i="5"/>
  <c r="I95" i="5" s="1"/>
  <c r="D96" i="5"/>
  <c r="L93" i="5"/>
  <c r="M91" i="5"/>
  <c r="K94" i="5"/>
  <c r="H96" i="5" l="1"/>
  <c r="I96" i="5" s="1"/>
  <c r="E96" i="5"/>
  <c r="G96" i="5"/>
  <c r="D97" i="5"/>
  <c r="J96" i="5"/>
  <c r="L94" i="5"/>
  <c r="M92" i="5"/>
  <c r="K95" i="5"/>
  <c r="E97" i="5" l="1"/>
  <c r="D98" i="5"/>
  <c r="J97" i="5"/>
  <c r="G97" i="5"/>
  <c r="H97" i="5"/>
  <c r="I97" i="5" s="1"/>
  <c r="L95" i="5"/>
  <c r="M93" i="5"/>
  <c r="M94" i="5"/>
  <c r="K96" i="5"/>
  <c r="E98" i="5" l="1"/>
  <c r="I98" i="5"/>
  <c r="H98" i="5"/>
  <c r="J98" i="5" s="1"/>
  <c r="G98" i="5"/>
  <c r="D99" i="5"/>
  <c r="L96" i="5"/>
  <c r="K97" i="5"/>
  <c r="E99" i="5" l="1"/>
  <c r="I99" i="5"/>
  <c r="G99" i="5"/>
  <c r="H99" i="5"/>
  <c r="J99" i="5" s="1"/>
  <c r="D100" i="5"/>
  <c r="L97" i="5"/>
  <c r="M95" i="5"/>
  <c r="K98" i="5"/>
  <c r="E100" i="5" l="1"/>
  <c r="I100" i="5"/>
  <c r="H100" i="5"/>
  <c r="J100" i="5" s="1"/>
  <c r="D101" i="5"/>
  <c r="G100" i="5"/>
  <c r="L98" i="5"/>
  <c r="M96" i="5"/>
  <c r="K99" i="5"/>
  <c r="E101" i="5" l="1"/>
  <c r="G101" i="5"/>
  <c r="H101" i="5"/>
  <c r="J101" i="5" s="1"/>
  <c r="I101" i="5"/>
  <c r="D102" i="5"/>
  <c r="L99" i="5"/>
  <c r="M97" i="5"/>
  <c r="K100" i="5"/>
  <c r="I102" i="5" l="1"/>
  <c r="D103" i="5"/>
  <c r="E102" i="5"/>
  <c r="G102" i="5"/>
  <c r="J102" i="5"/>
  <c r="H102" i="5"/>
  <c r="L100" i="5"/>
  <c r="M98" i="5"/>
  <c r="K101" i="5"/>
  <c r="I103" i="5" l="1"/>
  <c r="G103" i="5"/>
  <c r="J103" i="5"/>
  <c r="E103" i="5"/>
  <c r="H103" i="5"/>
  <c r="D104" i="5"/>
  <c r="L101" i="5"/>
  <c r="M99" i="5"/>
  <c r="K102" i="5"/>
  <c r="I104" i="5" l="1"/>
  <c r="H104" i="5"/>
  <c r="J104" i="5" s="1"/>
  <c r="G104" i="5"/>
  <c r="E104" i="5"/>
  <c r="D105" i="5"/>
  <c r="L102" i="5"/>
  <c r="M100" i="5"/>
  <c r="K103" i="5"/>
  <c r="H105" i="5" l="1"/>
  <c r="E105" i="5"/>
  <c r="G105" i="5"/>
  <c r="I105" i="5"/>
  <c r="D106" i="5"/>
  <c r="J105" i="5"/>
  <c r="L103" i="5"/>
  <c r="M101" i="5"/>
  <c r="K104" i="5"/>
  <c r="I106" i="5" l="1"/>
  <c r="G106" i="5"/>
  <c r="J106" i="5"/>
  <c r="E106" i="5"/>
  <c r="D107" i="5"/>
  <c r="H106" i="5"/>
  <c r="L104" i="5"/>
  <c r="M102" i="5"/>
  <c r="K105" i="5"/>
  <c r="I107" i="5" l="1"/>
  <c r="G107" i="5"/>
  <c r="D108" i="5"/>
  <c r="E107" i="5"/>
  <c r="H107" i="5"/>
  <c r="J107" i="5" s="1"/>
  <c r="L105" i="5"/>
  <c r="M103" i="5"/>
  <c r="K106" i="5"/>
  <c r="I108" i="5" l="1"/>
  <c r="H108" i="5"/>
  <c r="J108" i="5" s="1"/>
  <c r="G108" i="5"/>
  <c r="E108" i="5"/>
  <c r="D109" i="5"/>
  <c r="L106" i="5"/>
  <c r="M104" i="5"/>
  <c r="K107" i="5"/>
  <c r="G109" i="5" l="1"/>
  <c r="I109" i="5"/>
  <c r="E109" i="5"/>
  <c r="D110" i="5"/>
  <c r="H109" i="5"/>
  <c r="J109" i="5" s="1"/>
  <c r="L107" i="5"/>
  <c r="M105" i="5"/>
  <c r="K108" i="5"/>
  <c r="H110" i="5" l="1"/>
  <c r="J110" i="5" s="1"/>
  <c r="D111" i="5"/>
  <c r="E110" i="5"/>
  <c r="I110" i="5"/>
  <c r="G110" i="5"/>
  <c r="L108" i="5"/>
  <c r="M106" i="5"/>
  <c r="K109" i="5"/>
  <c r="E111" i="5" l="1"/>
  <c r="D112" i="5"/>
  <c r="I111" i="5"/>
  <c r="G111" i="5"/>
  <c r="J111" i="5"/>
  <c r="H111" i="5"/>
  <c r="L109" i="5"/>
  <c r="M107" i="5"/>
  <c r="K110" i="5"/>
  <c r="E112" i="5" l="1"/>
  <c r="G112" i="5"/>
  <c r="H112" i="5"/>
  <c r="I112" i="5"/>
  <c r="J112" i="5"/>
  <c r="D113" i="5"/>
  <c r="L110" i="5"/>
  <c r="M108" i="5"/>
  <c r="K111" i="5"/>
  <c r="E113" i="5" l="1"/>
  <c r="H113" i="5"/>
  <c r="J113" i="5" s="1"/>
  <c r="I113" i="5"/>
  <c r="D114" i="5"/>
  <c r="G113" i="5"/>
  <c r="L111" i="5"/>
  <c r="M109" i="5"/>
  <c r="K112" i="5"/>
  <c r="E114" i="5" l="1"/>
  <c r="I114" i="5"/>
  <c r="K114" i="5" s="1"/>
  <c r="D115" i="5"/>
  <c r="H114" i="5"/>
  <c r="G114" i="5"/>
  <c r="J114" i="5"/>
  <c r="L112" i="5"/>
  <c r="M110" i="5"/>
  <c r="I115" i="5" l="1"/>
  <c r="G115" i="5"/>
  <c r="J115" i="5"/>
  <c r="E115" i="5"/>
  <c r="D116" i="5"/>
  <c r="H115" i="5"/>
  <c r="L113" i="5"/>
  <c r="K113" i="5"/>
  <c r="L114" i="5"/>
  <c r="M111" i="5"/>
  <c r="K115" i="5"/>
  <c r="I116" i="5" l="1"/>
  <c r="H116" i="5"/>
  <c r="J116" i="5"/>
  <c r="E116" i="5"/>
  <c r="G116" i="5"/>
  <c r="D117" i="5"/>
  <c r="L115" i="5"/>
  <c r="M113" i="5"/>
  <c r="M112" i="5"/>
  <c r="K116" i="5"/>
  <c r="I117" i="5" l="1"/>
  <c r="G117" i="5"/>
  <c r="D118" i="5"/>
  <c r="E117" i="5"/>
  <c r="H117" i="5"/>
  <c r="J117" i="5" s="1"/>
  <c r="L116" i="5"/>
  <c r="M114" i="5"/>
  <c r="K117" i="5"/>
  <c r="G118" i="5" l="1"/>
  <c r="E118" i="5"/>
  <c r="I118" i="5"/>
  <c r="D119" i="5"/>
  <c r="H118" i="5"/>
  <c r="J118" i="5" s="1"/>
  <c r="L117" i="5"/>
  <c r="M115" i="5"/>
  <c r="E119" i="5" l="1"/>
  <c r="H119" i="5"/>
  <c r="J119" i="5" s="1"/>
  <c r="I119" i="5"/>
  <c r="K119" i="5" s="1"/>
  <c r="G119" i="5"/>
  <c r="D120" i="5"/>
  <c r="L118" i="5"/>
  <c r="K118" i="5"/>
  <c r="M116" i="5"/>
  <c r="L119" i="5" l="1"/>
  <c r="D121" i="5"/>
  <c r="I120" i="5"/>
  <c r="K120" i="5" s="1"/>
  <c r="J120" i="5"/>
  <c r="E120" i="5"/>
  <c r="H120" i="5"/>
  <c r="G120" i="5"/>
  <c r="M118" i="5"/>
  <c r="M117" i="5"/>
  <c r="L120" i="5" l="1"/>
  <c r="H121" i="5"/>
  <c r="J121" i="5" s="1"/>
  <c r="D122" i="5"/>
  <c r="G121" i="5"/>
  <c r="E121" i="5"/>
  <c r="I121" i="5"/>
  <c r="K121" i="5" s="1"/>
  <c r="M119" i="5"/>
  <c r="L121" i="5" l="1"/>
  <c r="E122" i="5"/>
  <c r="G122" i="5"/>
  <c r="I122" i="5"/>
  <c r="K122" i="5" s="1"/>
  <c r="H122" i="5"/>
  <c r="J122" i="5" s="1"/>
  <c r="D123" i="5"/>
  <c r="M120" i="5"/>
  <c r="L122" i="5" l="1"/>
  <c r="H123" i="5"/>
  <c r="J123" i="5" s="1"/>
  <c r="E123" i="5"/>
  <c r="I123" i="5"/>
  <c r="K123" i="5" s="1"/>
  <c r="G123" i="5"/>
  <c r="D124" i="5"/>
  <c r="M121" i="5"/>
  <c r="L123" i="5" l="1"/>
  <c r="E124" i="5"/>
  <c r="I124" i="5"/>
  <c r="K124" i="5" s="1"/>
  <c r="G124" i="5"/>
  <c r="D125" i="5"/>
  <c r="H124" i="5"/>
  <c r="J124" i="5"/>
  <c r="M122" i="5"/>
  <c r="L124" i="5" l="1"/>
  <c r="G125" i="5"/>
  <c r="H125" i="5"/>
  <c r="E125" i="5"/>
  <c r="I125" i="5"/>
  <c r="K125" i="5" s="1"/>
  <c r="J125" i="5"/>
  <c r="D126" i="5"/>
  <c r="M123" i="5"/>
  <c r="L125" i="5" l="1"/>
  <c r="E126" i="5"/>
  <c r="I126" i="5"/>
  <c r="L126" i="5" s="1"/>
  <c r="H126" i="5"/>
  <c r="G126" i="5"/>
  <c r="D127" i="5"/>
  <c r="J126" i="5"/>
  <c r="M124" i="5"/>
  <c r="K126" i="5" l="1"/>
  <c r="E127" i="5"/>
  <c r="I127" i="5"/>
  <c r="K127" i="5" s="1"/>
  <c r="G127" i="5"/>
  <c r="H127" i="5"/>
  <c r="J127" i="5"/>
  <c r="D128" i="5"/>
  <c r="J128" i="5" s="1"/>
  <c r="M125" i="5"/>
  <c r="I32" i="4"/>
  <c r="I33" i="4" s="1"/>
  <c r="L127" i="5" l="1"/>
  <c r="M127" i="5" s="1"/>
  <c r="G128" i="5"/>
  <c r="E128" i="5"/>
  <c r="H128" i="5"/>
  <c r="D129" i="5"/>
  <c r="K128" i="5"/>
  <c r="I128" i="5"/>
  <c r="M126" i="5"/>
  <c r="I34" i="4"/>
  <c r="L128" i="5" l="1"/>
  <c r="M128" i="5"/>
  <c r="H129" i="5"/>
  <c r="G129" i="5"/>
  <c r="I129" i="5"/>
  <c r="M129" i="5" s="1"/>
  <c r="E129" i="5"/>
  <c r="D130" i="5"/>
  <c r="J129" i="5"/>
  <c r="K129" i="5"/>
  <c r="L129" i="5" l="1"/>
  <c r="I130" i="5"/>
  <c r="H130" i="5"/>
  <c r="J130" i="5" s="1"/>
  <c r="D131" i="5"/>
  <c r="G130" i="5"/>
  <c r="M14" i="5"/>
  <c r="M35" i="5"/>
  <c r="M46" i="5"/>
  <c r="M52" i="5"/>
  <c r="M43" i="5"/>
  <c r="M56" i="5"/>
  <c r="L130" i="5"/>
  <c r="I131" i="5" l="1"/>
  <c r="M45" i="5" s="1"/>
  <c r="H131" i="5"/>
  <c r="M54" i="5"/>
  <c r="M55" i="5"/>
  <c r="M41" i="5" l="1"/>
  <c r="M42" i="5"/>
  <c r="M28" i="5"/>
  <c r="M37" i="5"/>
  <c r="M32" i="5"/>
  <c r="M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KoZ</author>
  </authors>
  <commentList>
    <comment ref="E6" authorId="0" shapeId="0" xr:uid="{00000000-0006-0000-0000-000001000000}">
      <text>
        <r>
          <rPr>
            <b/>
            <i/>
            <sz val="11"/>
            <color rgb="FF008080"/>
            <rFont val="Calibri"/>
            <family val="2"/>
          </rPr>
          <t>Your Age-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your current age.</t>
        </r>
      </text>
    </comment>
    <comment ref="E8" authorId="0" shapeId="0" xr:uid="{00000000-0006-0000-0000-000002000000}">
      <text>
        <r>
          <rPr>
            <b/>
            <i/>
            <sz val="11"/>
            <color rgb="FF008080"/>
            <rFont val="Calibri"/>
            <family val="2"/>
          </rPr>
          <t>Age of Retirement-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age at which you expect to be retired</t>
        </r>
      </text>
    </comment>
    <comment ref="E10" authorId="0" shapeId="0" xr:uid="{00000000-0006-0000-0000-000003000000}">
      <text>
        <r>
          <rPr>
            <b/>
            <i/>
            <sz val="11"/>
            <color rgb="FF008080"/>
            <rFont val="Calibri"/>
            <family val="2"/>
          </rPr>
          <t>Freedom Duration-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approximate number of years you will be alive after achieving financial freedom.</t>
        </r>
      </text>
    </comment>
    <comment ref="E14" authorId="0" shapeId="0" xr:uid="{00000000-0006-0000-0000-000004000000}">
      <text>
        <r>
          <rPr>
            <b/>
            <i/>
            <sz val="11"/>
            <color rgb="FF008080"/>
            <rFont val="Calibri"/>
            <family val="2"/>
          </rPr>
          <t>Net Income-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your net annual Income, after taxes.</t>
        </r>
      </text>
    </comment>
    <comment ref="E16" authorId="0" shapeId="0" xr:uid="{00000000-0006-0000-0000-000005000000}">
      <text>
        <r>
          <rPr>
            <b/>
            <i/>
            <sz val="11"/>
            <color rgb="FF008080"/>
            <rFont val="Calibri"/>
            <family val="2"/>
          </rPr>
          <t>Current Portfolio Value-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current value of your investment portfolio.</t>
        </r>
      </text>
    </comment>
    <comment ref="E18" authorId="0" shapeId="0" xr:uid="{00000000-0006-0000-0000-000006000000}">
      <text>
        <r>
          <rPr>
            <b/>
            <i/>
            <sz val="11"/>
            <color rgb="FF008080"/>
            <rFont val="Calibri"/>
            <family val="2"/>
          </rPr>
          <t>Annual Contributions-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amount you've currently comitted to contribute, every year.</t>
        </r>
      </text>
    </comment>
    <comment ref="E20" authorId="0" shapeId="0" xr:uid="{00000000-0006-0000-0000-000007000000}">
      <text>
        <r>
          <rPr>
            <b/>
            <i/>
            <sz val="11"/>
            <color rgb="FF008080"/>
            <rFont val="Calibri"/>
            <family val="2"/>
          </rPr>
          <t>Rate of Return-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 xml:space="preserve">Enter the approximate rate of return on your investments. 
(Conservative 4%, Balanced 6%, Aggressive 8%)
</t>
        </r>
      </text>
    </comment>
    <comment ref="E22" authorId="0" shapeId="0" xr:uid="{00000000-0006-0000-0000-000008000000}">
      <text>
        <r>
          <rPr>
            <b/>
            <i/>
            <sz val="11"/>
            <color rgb="FF008080"/>
            <rFont val="Calibri"/>
            <family val="2"/>
          </rPr>
          <t>Inflation Rate-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approximate rate of inflation (See resources).</t>
        </r>
      </text>
    </comment>
    <comment ref="E25" authorId="0" shapeId="0" xr:uid="{00000000-0006-0000-0000-000009000000}">
      <text>
        <r>
          <rPr>
            <b/>
            <i/>
            <sz val="11"/>
            <color rgb="FF008080"/>
            <rFont val="Calibri"/>
            <family val="2"/>
          </rPr>
          <t>Desired Net Income-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desired amount of net (annual) income, after taxes. (Refer to the budget sheet. Rule of thumb is 70% of current spending)</t>
        </r>
      </text>
    </comment>
    <comment ref="E26" authorId="0" shapeId="0" xr:uid="{00000000-0006-0000-0000-00000A000000}">
      <text>
        <r>
          <rPr>
            <b/>
            <i/>
            <sz val="11"/>
            <color rgb="FF008080"/>
            <rFont val="Calibri"/>
            <family val="2"/>
          </rPr>
          <t>Other Retirement Income-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Enter the amount of any other sources of periodic annual income such as Private Pension, CPP, OAS, Net Rents, Life Annuity etc., before taxes.</t>
        </r>
      </text>
    </comment>
  </commentList>
</comments>
</file>

<file path=xl/sharedStrings.xml><?xml version="1.0" encoding="utf-8"?>
<sst xmlns="http://schemas.openxmlformats.org/spreadsheetml/2006/main" count="33" uniqueCount="31">
  <si>
    <t xml:space="preserve">% Of Annual Income Required For Savings </t>
  </si>
  <si>
    <t xml:space="preserve"> </t>
  </si>
  <si>
    <t>a:</t>
  </si>
  <si>
    <t>Your Age Now</t>
  </si>
  <si>
    <t>Expected Rate of Inflation</t>
  </si>
  <si>
    <t xml:space="preserve">Current Value of Investment Portfolio </t>
  </si>
  <si>
    <t>How Much Do I Need To Save?</t>
  </si>
  <si>
    <t xml:space="preserve">Expected Rate of Return on Investments  </t>
  </si>
  <si>
    <t>Desired Financial Freedom Age</t>
  </si>
  <si>
    <t>MINUS Expected Other Income</t>
  </si>
  <si>
    <t>Annual Savings Required Before Financial Freedom</t>
  </si>
  <si>
    <t>Year</t>
  </si>
  <si>
    <t>Future Value of Income</t>
  </si>
  <si>
    <t>Additional Contributions Required to Meet Goals</t>
  </si>
  <si>
    <t>Assessment:</t>
  </si>
  <si>
    <t>Years remaining to save</t>
  </si>
  <si>
    <t>Annual Contibutions</t>
  </si>
  <si>
    <t>Portfolio</t>
  </si>
  <si>
    <t>Portfolio +</t>
  </si>
  <si>
    <t>Portfolio -</t>
  </si>
  <si>
    <t>Savings Projection Chart</t>
  </si>
  <si>
    <t>Additional Annual Savings Required</t>
  </si>
  <si>
    <t>Number Of Years You'll Be Alive After Financial Freedom</t>
  </si>
  <si>
    <t>Splitline (don't delete)</t>
  </si>
  <si>
    <t>Labels</t>
  </si>
  <si>
    <t>Income Withdrawal</t>
  </si>
  <si>
    <t>MINUS What you will have</t>
  </si>
  <si>
    <t>What you will need to achieve Freedom</t>
  </si>
  <si>
    <t>Net Income</t>
  </si>
  <si>
    <t xml:space="preserve"> Adjusted Net Income</t>
  </si>
  <si>
    <t>Desired Annual Financial Freedom Income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</si>
</sst>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;\-&quot;$&quot;#,##0"/>
    <numFmt numFmtId="165" formatCode="&quot;$&quot;#,##0"/>
    <numFmt numFmtId="166" formatCode="0.0%"/>
    <numFmt numFmtId="167" formatCode="\-&quot;$&quot;#,##0_);\(&quot;$&quot;#,##0\)&quot; =&quot;"/>
    <numFmt numFmtId="168" formatCode="\ &quot;$&quot;#,##0_)"/>
    <numFmt numFmtId="169" formatCode="&quot;$&quot;#,##0.00"/>
    <numFmt numFmtId="170" formatCode="\ \ 0.0%"/>
    <numFmt numFmtId="171" formatCode="&quot;$&quot;#,##0_)"/>
    <numFmt numFmtId="172" formatCode="&quot;$&quot;#,##0_);\-&quot;$&quot;#,##0"/>
    <numFmt numFmtId="173" formatCode="&quot;$&quot;#,##0_);\(&quot;$&quot;#,##0\);&quot;-&quot;"/>
    <numFmt numFmtId="174" formatCode="#,##0.00_);[Red]\-#,##0.00"/>
    <numFmt numFmtId="175" formatCode="&quot;$&quot;#,##0.000000000000000_);\(&quot;$&quot;#,##0.000000000000000\)"/>
  </numFmts>
  <fonts count="47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36322B"/>
      <name val="Arial"/>
      <family val="2"/>
    </font>
    <font>
      <u/>
      <sz val="11"/>
      <color theme="1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u/>
      <sz val="16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6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Roboto"/>
    </font>
    <font>
      <b/>
      <sz val="10"/>
      <color theme="8" tint="-0.249977111117893"/>
      <name val="Roboto"/>
    </font>
    <font>
      <b/>
      <sz val="8"/>
      <color theme="1" tint="4.9989318521683403E-2"/>
      <name val="Calibri"/>
      <family val="2"/>
      <scheme val="minor"/>
    </font>
    <font>
      <b/>
      <sz val="8"/>
      <color theme="8" tint="-0.499984740745262"/>
      <name val="Roboto"/>
    </font>
    <font>
      <b/>
      <sz val="11"/>
      <color theme="8" tint="-0.499984740745262"/>
      <name val="Roboto"/>
    </font>
    <font>
      <b/>
      <sz val="8"/>
      <color theme="8" tint="-0.249977111117893"/>
      <name val="Roboto"/>
    </font>
    <font>
      <b/>
      <sz val="11"/>
      <color theme="0"/>
      <name val="Roboto"/>
    </font>
    <font>
      <sz val="11"/>
      <color theme="8" tint="-0.249977111117893"/>
      <name val="Roboto"/>
    </font>
    <font>
      <sz val="11"/>
      <color rgb="FF0070C0"/>
      <name val="Roboto"/>
    </font>
    <font>
      <b/>
      <sz val="14"/>
      <color rgb="FF00B050"/>
      <name val="Roboto"/>
    </font>
    <font>
      <b/>
      <sz val="14"/>
      <color theme="0"/>
      <name val="Roboto"/>
    </font>
    <font>
      <b/>
      <i/>
      <sz val="11"/>
      <color rgb="FF00808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2"/>
      <color theme="8" tint="-0.249977111117893"/>
      <name val="Roboto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8" tint="-0.499984740745262"/>
      <name val="Roboto"/>
    </font>
    <font>
      <b/>
      <sz val="12"/>
      <color theme="0"/>
      <name val="Roboto"/>
    </font>
    <font>
      <b/>
      <sz val="11"/>
      <color rgb="FF01526F"/>
      <name val="Roboto"/>
    </font>
    <font>
      <b/>
      <sz val="10"/>
      <color theme="8" tint="-0.499984740745262"/>
      <name val="Roboto"/>
    </font>
    <font>
      <b/>
      <sz val="9"/>
      <color theme="8" tint="-0.249977111117893"/>
      <name val="Roboto"/>
    </font>
    <font>
      <b/>
      <sz val="11"/>
      <color rgb="FF376879"/>
      <name val="Roboto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Roboto"/>
    </font>
    <font>
      <b/>
      <sz val="14"/>
      <color rgb="FFFFBF8F"/>
      <name val="Roboto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8FAE6"/>
        <bgColor indexed="64"/>
      </patternFill>
    </fill>
    <fill>
      <patternFill patternType="solid">
        <fgColor rgb="FFFCFDF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thin">
        <color theme="8" tint="-0.249977111117893"/>
      </top>
      <bottom style="hair">
        <color theme="9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9" tint="-0.249977111117893"/>
      </top>
      <bottom style="hair">
        <color theme="8" tint="-0.249977111117893"/>
      </bottom>
      <diagonal/>
    </border>
    <border>
      <left/>
      <right/>
      <top style="hair">
        <color theme="9" tint="-0.249977111117893"/>
      </top>
      <bottom/>
      <diagonal/>
    </border>
    <border>
      <left style="hair">
        <color theme="9" tint="-0.249977111117893"/>
      </left>
      <right style="hair">
        <color theme="9" tint="-0.249977111117893"/>
      </right>
      <top style="hair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indexed="64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hair">
        <color theme="2" tint="-0.24994659260841701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9" tint="-0.249977111117893"/>
      </top>
      <bottom style="thin">
        <color theme="8" tint="-0.249977111117893"/>
      </bottom>
      <diagonal/>
    </border>
    <border>
      <left style="thin">
        <color indexed="64"/>
      </left>
      <right/>
      <top/>
      <bottom/>
      <diagonal/>
    </border>
    <border>
      <left style="hair">
        <color theme="9" tint="-0.249977111117893"/>
      </left>
      <right style="hair">
        <color theme="9" tint="-0.249977111117893"/>
      </right>
      <top/>
      <bottom style="thick">
        <color rgb="FF376879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dashDot">
        <color theme="9" tint="-0.499984740745262"/>
      </right>
      <top/>
      <bottom style="thick">
        <color theme="9" tint="-0.499984740745262"/>
      </bottom>
      <diagonal/>
    </border>
    <border>
      <left style="dashDot">
        <color theme="9" tint="-0.499984740745262"/>
      </left>
      <right style="dashDot">
        <color theme="9" tint="-0.499984740745262"/>
      </right>
      <top/>
      <bottom style="thick">
        <color theme="9" tint="-0.499984740745262"/>
      </bottom>
      <diagonal/>
    </border>
    <border>
      <left style="dashDot">
        <color theme="9" tint="-0.499984740745262"/>
      </left>
      <right/>
      <top/>
      <bottom style="thick">
        <color theme="9" tint="-0.49998474074526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Font="1"/>
    <xf numFmtId="0" fontId="6" fillId="2" borderId="1" xfId="0" applyFont="1" applyFill="1" applyBorder="1" applyAlignment="1"/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0" borderId="0" xfId="1" applyFont="1" applyFill="1" applyBorder="1" applyAlignment="1">
      <alignment horizontal="left"/>
    </xf>
    <xf numFmtId="0" fontId="7" fillId="4" borderId="0" xfId="0" applyFont="1" applyFill="1" applyAlignment="1">
      <alignment horizontal="center" shrinkToFit="1"/>
    </xf>
    <xf numFmtId="9" fontId="8" fillId="4" borderId="0" xfId="0" applyNumberFormat="1" applyFont="1" applyFill="1" applyAlignment="1">
      <alignment horizontal="center" shrinkToFit="1"/>
    </xf>
    <xf numFmtId="165" fontId="15" fillId="5" borderId="0" xfId="2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1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8" fontId="12" fillId="2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left" vertical="top" indent="5" shrinkToFit="1"/>
    </xf>
    <xf numFmtId="0" fontId="0" fillId="3" borderId="0" xfId="0" applyFill="1"/>
    <xf numFmtId="0" fontId="4" fillId="3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vertical="center" wrapText="1"/>
    </xf>
    <xf numFmtId="0" fontId="0" fillId="3" borderId="0" xfId="0" applyFont="1" applyFill="1"/>
    <xf numFmtId="8" fontId="0" fillId="3" borderId="0" xfId="0" applyNumberFormat="1" applyFill="1"/>
    <xf numFmtId="165" fontId="19" fillId="6" borderId="9" xfId="2" applyNumberFormat="1" applyFont="1" applyFill="1" applyBorder="1" applyAlignment="1" applyProtection="1">
      <alignment horizontal="left" vertical="center" indent="2"/>
    </xf>
    <xf numFmtId="165" fontId="15" fillId="5" borderId="10" xfId="2" applyNumberFormat="1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>
      <alignment horizontal="center" vertical="center" shrinkToFit="1"/>
    </xf>
    <xf numFmtId="165" fontId="11" fillId="5" borderId="10" xfId="0" applyNumberFormat="1" applyFont="1" applyFill="1" applyBorder="1" applyAlignment="1">
      <alignment horizontal="center" vertical="center" shrinkToFit="1"/>
    </xf>
    <xf numFmtId="165" fontId="15" fillId="6" borderId="10" xfId="2" applyNumberFormat="1" applyFont="1" applyFill="1" applyBorder="1" applyAlignment="1" applyProtection="1">
      <alignment horizontal="center" vertical="center"/>
    </xf>
    <xf numFmtId="166" fontId="11" fillId="6" borderId="10" xfId="0" applyNumberFormat="1" applyFont="1" applyFill="1" applyBorder="1" applyAlignment="1">
      <alignment horizontal="center" vertical="center" shrinkToFit="1"/>
    </xf>
    <xf numFmtId="165" fontId="10" fillId="6" borderId="11" xfId="0" applyNumberFormat="1" applyFont="1" applyFill="1" applyBorder="1" applyAlignment="1">
      <alignment horizontal="center" vertical="center" shrinkToFit="1"/>
    </xf>
    <xf numFmtId="6" fontId="10" fillId="5" borderId="10" xfId="0" applyNumberFormat="1" applyFont="1" applyFill="1" applyBorder="1" applyAlignment="1">
      <alignment horizontal="center" vertical="center" shrinkToFit="1"/>
    </xf>
    <xf numFmtId="6" fontId="10" fillId="6" borderId="10" xfId="0" applyNumberFormat="1" applyFont="1" applyFill="1" applyBorder="1" applyAlignment="1">
      <alignment horizontal="center" vertical="center" shrinkToFit="1"/>
    </xf>
    <xf numFmtId="165" fontId="15" fillId="5" borderId="15" xfId="2" applyNumberFormat="1" applyFont="1" applyFill="1" applyBorder="1" applyAlignment="1" applyProtection="1">
      <alignment horizontal="center" vertical="center"/>
    </xf>
    <xf numFmtId="0" fontId="10" fillId="6" borderId="14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166" fontId="11" fillId="5" borderId="10" xfId="0" applyNumberFormat="1" applyFont="1" applyFill="1" applyBorder="1" applyAlignment="1">
      <alignment horizontal="center" vertical="center" shrinkToFit="1"/>
    </xf>
    <xf numFmtId="0" fontId="21" fillId="2" borderId="16" xfId="2" applyNumberFormat="1" applyFont="1" applyFill="1" applyBorder="1" applyAlignment="1" applyProtection="1">
      <alignment horizontal="center" vertical="center"/>
    </xf>
    <xf numFmtId="0" fontId="21" fillId="5" borderId="0" xfId="2" applyNumberFormat="1" applyFont="1" applyFill="1" applyBorder="1" applyAlignment="1" applyProtection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shrinkToFit="1"/>
    </xf>
    <xf numFmtId="0" fontId="22" fillId="6" borderId="0" xfId="0" applyNumberFormat="1" applyFont="1" applyFill="1" applyBorder="1" applyAlignment="1">
      <alignment horizontal="center" vertical="center" shrinkToFit="1"/>
    </xf>
    <xf numFmtId="0" fontId="21" fillId="2" borderId="2" xfId="2" applyNumberFormat="1" applyFont="1" applyFill="1" applyBorder="1" applyAlignment="1" applyProtection="1">
      <alignment horizontal="center" vertical="center"/>
    </xf>
    <xf numFmtId="165" fontId="21" fillId="5" borderId="0" xfId="2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/>
    <xf numFmtId="165" fontId="21" fillId="2" borderId="2" xfId="0" applyNumberFormat="1" applyFont="1" applyFill="1" applyBorder="1" applyAlignment="1">
      <alignment horizontal="center" vertical="center" shrinkToFit="1"/>
    </xf>
    <xf numFmtId="165" fontId="21" fillId="2" borderId="2" xfId="2" applyNumberFormat="1" applyFont="1" applyFill="1" applyBorder="1" applyAlignment="1" applyProtection="1">
      <alignment horizontal="center" vertical="center"/>
    </xf>
    <xf numFmtId="165" fontId="21" fillId="2" borderId="4" xfId="2" applyNumberFormat="1" applyFont="1" applyFill="1" applyBorder="1" applyAlignment="1" applyProtection="1">
      <alignment horizontal="center" vertical="center"/>
    </xf>
    <xf numFmtId="165" fontId="18" fillId="6" borderId="7" xfId="0" applyNumberFormat="1" applyFont="1" applyFill="1" applyBorder="1" applyAlignment="1">
      <alignment horizontal="center" vertical="center" shrinkToFit="1"/>
    </xf>
    <xf numFmtId="0" fontId="13" fillId="6" borderId="13" xfId="0" applyFont="1" applyFill="1" applyBorder="1"/>
    <xf numFmtId="165" fontId="15" fillId="6" borderId="14" xfId="2" applyNumberFormat="1" applyFont="1" applyFill="1" applyBorder="1" applyAlignment="1" applyProtection="1">
      <alignment horizontal="center" vertical="center"/>
    </xf>
    <xf numFmtId="165" fontId="28" fillId="6" borderId="13" xfId="2" applyNumberFormat="1" applyFont="1" applyFill="1" applyBorder="1" applyAlignment="1" applyProtection="1">
      <alignment horizontal="center" vertical="top"/>
    </xf>
    <xf numFmtId="165" fontId="17" fillId="5" borderId="9" xfId="2" applyNumberFormat="1" applyFont="1" applyFill="1" applyBorder="1" applyAlignment="1" applyProtection="1">
      <alignment horizontal="left" vertical="center" indent="1"/>
    </xf>
    <xf numFmtId="165" fontId="17" fillId="5" borderId="0" xfId="2" applyNumberFormat="1" applyFont="1" applyFill="1" applyBorder="1" applyAlignment="1" applyProtection="1">
      <alignment horizontal="left" vertical="center" indent="1"/>
    </xf>
    <xf numFmtId="165" fontId="17" fillId="5" borderId="9" xfId="2" applyNumberFormat="1" applyFont="1" applyFill="1" applyBorder="1" applyAlignment="1" applyProtection="1">
      <alignment horizontal="left" indent="1"/>
    </xf>
    <xf numFmtId="0" fontId="17" fillId="6" borderId="12" xfId="0" applyFont="1" applyFill="1" applyBorder="1" applyAlignment="1">
      <alignment horizontal="left" vertical="center" indent="1" shrinkToFit="1"/>
    </xf>
    <xf numFmtId="0" fontId="17" fillId="6" borderId="13" xfId="0" applyFont="1" applyFill="1" applyBorder="1" applyAlignment="1">
      <alignment horizontal="left" vertical="center" indent="1" shrinkToFit="1"/>
    </xf>
    <xf numFmtId="0" fontId="17" fillId="6" borderId="9" xfId="0" applyFont="1" applyFill="1" applyBorder="1" applyAlignment="1">
      <alignment horizontal="left" vertical="center" indent="1" shrinkToFit="1"/>
    </xf>
    <xf numFmtId="0" fontId="30" fillId="5" borderId="9" xfId="0" applyFont="1" applyFill="1" applyBorder="1" applyAlignment="1">
      <alignment horizontal="left" indent="1"/>
    </xf>
    <xf numFmtId="0" fontId="17" fillId="5" borderId="0" xfId="0" applyFont="1" applyFill="1" applyBorder="1" applyAlignment="1">
      <alignment horizontal="left" vertical="center" indent="1" shrinkToFit="1"/>
    </xf>
    <xf numFmtId="0" fontId="17" fillId="5" borderId="9" xfId="0" applyFont="1" applyFill="1" applyBorder="1" applyAlignment="1">
      <alignment horizontal="left" vertical="center" indent="1" shrinkToFit="1"/>
    </xf>
    <xf numFmtId="165" fontId="17" fillId="6" borderId="9" xfId="2" applyNumberFormat="1" applyFont="1" applyFill="1" applyBorder="1" applyAlignment="1" applyProtection="1">
      <alignment horizontal="left" vertical="center" indent="1"/>
    </xf>
    <xf numFmtId="165" fontId="17" fillId="6" borderId="0" xfId="2" applyNumberFormat="1" applyFont="1" applyFill="1" applyBorder="1" applyAlignment="1" applyProtection="1">
      <alignment horizontal="left" vertical="center" indent="1"/>
    </xf>
    <xf numFmtId="0" fontId="30" fillId="6" borderId="12" xfId="0" applyFont="1" applyFill="1" applyBorder="1" applyAlignment="1">
      <alignment horizontal="left" indent="1"/>
    </xf>
    <xf numFmtId="0" fontId="30" fillId="6" borderId="13" xfId="0" applyFont="1" applyFill="1" applyBorder="1" applyAlignment="1">
      <alignment horizontal="left" indent="1"/>
    </xf>
    <xf numFmtId="0" fontId="30" fillId="5" borderId="0" xfId="0" applyFont="1" applyFill="1" applyBorder="1" applyAlignment="1">
      <alignment horizontal="left" indent="1"/>
    </xf>
    <xf numFmtId="44" fontId="0" fillId="0" borderId="0" xfId="2" applyFont="1"/>
    <xf numFmtId="5" fontId="0" fillId="0" borderId="0" xfId="2" applyNumberFormat="1" applyFont="1" applyAlignment="1">
      <alignment horizontal="center"/>
    </xf>
    <xf numFmtId="0" fontId="29" fillId="0" borderId="0" xfId="0" applyFont="1"/>
    <xf numFmtId="165" fontId="23" fillId="2" borderId="0" xfId="3" applyNumberFormat="1" applyFont="1" applyFill="1" applyBorder="1" applyAlignment="1" applyProtection="1">
      <alignment horizontal="center" vertical="center"/>
    </xf>
    <xf numFmtId="8" fontId="31" fillId="2" borderId="0" xfId="0" applyNumberFormat="1" applyFont="1" applyFill="1" applyBorder="1" applyAlignment="1">
      <alignment horizontal="center" vertical="center"/>
    </xf>
    <xf numFmtId="165" fontId="19" fillId="6" borderId="9" xfId="2" applyNumberFormat="1" applyFont="1" applyFill="1" applyBorder="1" applyAlignment="1" applyProtection="1">
      <alignment horizontal="left" vertical="center" indent="3"/>
    </xf>
    <xf numFmtId="0" fontId="12" fillId="2" borderId="0" xfId="0" applyFont="1" applyFill="1" applyBorder="1" applyAlignment="1">
      <alignment horizontal="center" vertical="center"/>
    </xf>
    <xf numFmtId="9" fontId="17" fillId="6" borderId="0" xfId="3" applyFont="1" applyFill="1" applyBorder="1" applyAlignment="1">
      <alignment horizontal="left" vertical="center" indent="1" shrinkToFit="1"/>
    </xf>
    <xf numFmtId="165" fontId="18" fillId="6" borderId="9" xfId="2" applyNumberFormat="1" applyFont="1" applyFill="1" applyBorder="1" applyAlignment="1" applyProtection="1">
      <alignment horizontal="left" indent="1"/>
    </xf>
    <xf numFmtId="165" fontId="14" fillId="6" borderId="0" xfId="2" applyNumberFormat="1" applyFont="1" applyFill="1" applyBorder="1" applyAlignment="1" applyProtection="1">
      <alignment horizontal="left" vertical="center" indent="1"/>
    </xf>
    <xf numFmtId="169" fontId="23" fillId="2" borderId="0" xfId="3" applyNumberFormat="1" applyFont="1" applyFill="1" applyBorder="1" applyAlignment="1" applyProtection="1">
      <alignment horizontal="center" vertical="center"/>
    </xf>
    <xf numFmtId="170" fontId="21" fillId="2" borderId="2" xfId="3" applyNumberFormat="1" applyFont="1" applyFill="1" applyBorder="1" applyAlignment="1" applyProtection="1">
      <alignment horizontal="center" vertical="center"/>
    </xf>
    <xf numFmtId="170" fontId="21" fillId="2" borderId="2" xfId="0" applyNumberFormat="1" applyFont="1" applyFill="1" applyBorder="1" applyAlignment="1">
      <alignment horizontal="center" vertical="center" shrinkToFit="1"/>
    </xf>
    <xf numFmtId="0" fontId="34" fillId="6" borderId="13" xfId="0" applyFont="1" applyFill="1" applyBorder="1" applyAlignment="1">
      <alignment horizontal="center" vertical="center" shrinkToFit="1"/>
    </xf>
    <xf numFmtId="165" fontId="34" fillId="6" borderId="6" xfId="0" applyNumberFormat="1" applyFont="1" applyFill="1" applyBorder="1" applyAlignment="1">
      <alignment horizontal="center" vertical="center" shrinkToFit="1"/>
    </xf>
    <xf numFmtId="165" fontId="34" fillId="6" borderId="5" xfId="0" applyNumberFormat="1" applyFont="1" applyFill="1" applyBorder="1" applyAlignment="1">
      <alignment horizontal="center" vertical="center" shrinkToFit="1"/>
    </xf>
    <xf numFmtId="168" fontId="34" fillId="5" borderId="8" xfId="0" applyNumberFormat="1" applyFont="1" applyFill="1" applyBorder="1" applyAlignment="1">
      <alignment horizontal="center" vertical="center" shrinkToFit="1"/>
    </xf>
    <xf numFmtId="165" fontId="17" fillId="5" borderId="0" xfId="2" applyNumberFormat="1" applyFont="1" applyFill="1" applyBorder="1" applyAlignment="1" applyProtection="1">
      <alignment horizontal="left" vertical="center"/>
    </xf>
    <xf numFmtId="165" fontId="19" fillId="6" borderId="0" xfId="2" applyNumberFormat="1" applyFont="1" applyFill="1" applyBorder="1" applyAlignment="1" applyProtection="1">
      <alignment horizontal="left" vertical="center"/>
    </xf>
    <xf numFmtId="167" fontId="21" fillId="2" borderId="3" xfId="0" applyNumberFormat="1" applyFont="1" applyFill="1" applyBorder="1" applyAlignment="1">
      <alignment horizontal="center" shrinkToFit="1"/>
    </xf>
    <xf numFmtId="0" fontId="14" fillId="6" borderId="9" xfId="0" applyFont="1" applyFill="1" applyBorder="1" applyAlignment="1">
      <alignment horizontal="center" vertical="top" shrinkToFit="1"/>
    </xf>
    <xf numFmtId="165" fontId="36" fillId="6" borderId="9" xfId="2" applyNumberFormat="1" applyFont="1" applyFill="1" applyBorder="1" applyAlignment="1" applyProtection="1">
      <alignment horizontal="left" vertical="center" indent="3"/>
    </xf>
    <xf numFmtId="171" fontId="37" fillId="6" borderId="18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/>
    </xf>
    <xf numFmtId="7" fontId="0" fillId="0" borderId="0" xfId="2" applyNumberFormat="1" applyFont="1" applyAlignment="1">
      <alignment horizontal="center"/>
    </xf>
    <xf numFmtId="9" fontId="8" fillId="9" borderId="0" xfId="0" applyNumberFormat="1" applyFont="1" applyFill="1" applyAlignment="1">
      <alignment horizontal="center" shrinkToFit="1"/>
    </xf>
    <xf numFmtId="0" fontId="33" fillId="3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left" vertical="center" indent="1" shrinkToFit="1"/>
    </xf>
    <xf numFmtId="164" fontId="24" fillId="7" borderId="0" xfId="0" applyNumberFormat="1" applyFont="1" applyFill="1" applyAlignment="1">
      <alignment horizontal="center" vertical="center" shrinkToFit="1"/>
    </xf>
    <xf numFmtId="164" fontId="33" fillId="7" borderId="0" xfId="0" applyNumberFormat="1" applyFont="1" applyFill="1" applyAlignment="1">
      <alignment horizontal="center" vertical="top" shrinkToFit="1"/>
    </xf>
    <xf numFmtId="6" fontId="20" fillId="8" borderId="0" xfId="0" applyNumberFormat="1" applyFont="1" applyFill="1" applyAlignment="1">
      <alignment horizontal="center" vertical="center" shrinkToFit="1"/>
    </xf>
    <xf numFmtId="9" fontId="23" fillId="7" borderId="0" xfId="3" applyFont="1" applyFill="1" applyBorder="1" applyAlignment="1" applyProtection="1">
      <alignment horizontal="center" vertical="center"/>
    </xf>
    <xf numFmtId="0" fontId="33" fillId="3" borderId="0" xfId="0" applyFont="1" applyFill="1" applyBorder="1" applyAlignment="1">
      <alignment horizontal="left" vertical="center" indent="3"/>
    </xf>
    <xf numFmtId="0" fontId="12" fillId="2" borderId="0" xfId="0" applyFont="1" applyFill="1" applyBorder="1" applyAlignment="1">
      <alignment horizontal="center" vertical="center"/>
    </xf>
    <xf numFmtId="0" fontId="0" fillId="6" borderId="0" xfId="0" applyFont="1" applyFill="1"/>
    <xf numFmtId="165" fontId="11" fillId="6" borderId="10" xfId="0" applyNumberFormat="1" applyFont="1" applyFill="1" applyBorder="1" applyAlignment="1">
      <alignment horizontal="center" vertical="center" shrinkToFit="1"/>
    </xf>
    <xf numFmtId="0" fontId="30" fillId="6" borderId="9" xfId="0" applyFont="1" applyFill="1" applyBorder="1" applyAlignment="1">
      <alignment horizontal="left" indent="1"/>
    </xf>
    <xf numFmtId="0" fontId="13" fillId="6" borderId="0" xfId="0" applyFont="1" applyFill="1" applyBorder="1"/>
    <xf numFmtId="0" fontId="17" fillId="5" borderId="12" xfId="0" applyFont="1" applyFill="1" applyBorder="1" applyAlignment="1">
      <alignment horizontal="left" vertical="center" indent="1" shrinkToFit="1"/>
    </xf>
    <xf numFmtId="0" fontId="17" fillId="5" borderId="13" xfId="0" applyFont="1" applyFill="1" applyBorder="1" applyAlignment="1">
      <alignment horizontal="left" vertical="center" indent="1" shrinkToFit="1"/>
    </xf>
    <xf numFmtId="0" fontId="18" fillId="5" borderId="13" xfId="0" applyFont="1" applyFill="1" applyBorder="1" applyAlignment="1">
      <alignment horizontal="left" vertical="center" indent="1" shrinkToFit="1"/>
    </xf>
    <xf numFmtId="165" fontId="15" fillId="5" borderId="11" xfId="2" applyNumberFormat="1" applyFont="1" applyFill="1" applyBorder="1" applyAlignment="1" applyProtection="1">
      <alignment horizontal="center" vertical="center"/>
    </xf>
    <xf numFmtId="0" fontId="17" fillId="6" borderId="17" xfId="0" applyFont="1" applyFill="1" applyBorder="1" applyAlignment="1">
      <alignment horizontal="left" vertical="center" indent="1" shrinkToFit="1"/>
    </xf>
    <xf numFmtId="0" fontId="35" fillId="6" borderId="9" xfId="0" applyFont="1" applyFill="1" applyBorder="1" applyAlignment="1">
      <alignment horizontal="left" vertical="top" indent="1" shrinkToFit="1"/>
    </xf>
    <xf numFmtId="0" fontId="19" fillId="5" borderId="9" xfId="0" applyFont="1" applyFill="1" applyBorder="1" applyAlignment="1">
      <alignment horizontal="left" vertical="center" indent="3" shrinkToFit="1"/>
    </xf>
    <xf numFmtId="0" fontId="17" fillId="5" borderId="0" xfId="0" applyFont="1" applyFill="1" applyBorder="1" applyAlignment="1">
      <alignment horizontal="left" vertical="top" indent="4" shrinkToFit="1"/>
    </xf>
    <xf numFmtId="5" fontId="11" fillId="5" borderId="10" xfId="0" applyNumberFormat="1" applyFont="1" applyFill="1" applyBorder="1" applyAlignment="1">
      <alignment horizontal="center" vertical="center" shrinkToFit="1"/>
    </xf>
    <xf numFmtId="0" fontId="40" fillId="2" borderId="0" xfId="0" applyFont="1" applyFill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41" fillId="2" borderId="19" xfId="0" applyFont="1" applyFill="1" applyBorder="1" applyAlignment="1" applyProtection="1">
      <alignment horizontal="center" wrapText="1"/>
      <protection locked="0"/>
    </xf>
    <xf numFmtId="7" fontId="42" fillId="2" borderId="0" xfId="2" applyNumberFormat="1" applyFont="1" applyFill="1" applyAlignment="1">
      <alignment horizontal="center"/>
    </xf>
    <xf numFmtId="172" fontId="42" fillId="2" borderId="0" xfId="2" applyNumberFormat="1" applyFont="1" applyFill="1" applyAlignment="1">
      <alignment horizontal="center"/>
    </xf>
    <xf numFmtId="173" fontId="42" fillId="2" borderId="0" xfId="2" applyNumberFormat="1" applyFont="1" applyFill="1" applyAlignment="1">
      <alignment horizontal="center"/>
    </xf>
    <xf numFmtId="174" fontId="43" fillId="2" borderId="0" xfId="2" applyNumberFormat="1" applyFont="1" applyFill="1" applyAlignment="1">
      <alignment horizontal="center"/>
    </xf>
    <xf numFmtId="174" fontId="0" fillId="0" borderId="0" xfId="0" applyNumberFormat="1"/>
    <xf numFmtId="0" fontId="41" fillId="2" borderId="0" xfId="0" applyFont="1" applyFill="1" applyBorder="1" applyAlignment="1" applyProtection="1">
      <alignment horizontal="center" wrapText="1"/>
      <protection locked="0"/>
    </xf>
    <xf numFmtId="0" fontId="41" fillId="2" borderId="20" xfId="0" applyFont="1" applyFill="1" applyBorder="1" applyAlignment="1" applyProtection="1">
      <alignment horizontal="center" vertical="center" wrapText="1"/>
      <protection locked="0"/>
    </xf>
    <xf numFmtId="0" fontId="41" fillId="2" borderId="21" xfId="0" applyFont="1" applyFill="1" applyBorder="1" applyAlignment="1" applyProtection="1">
      <alignment horizontal="center" wrapText="1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41" fillId="2" borderId="22" xfId="0" applyFont="1" applyFill="1" applyBorder="1" applyAlignment="1" applyProtection="1">
      <alignment horizontal="center" wrapText="1"/>
      <protection locked="0"/>
    </xf>
    <xf numFmtId="0" fontId="44" fillId="2" borderId="21" xfId="0" applyFont="1" applyFill="1" applyBorder="1" applyAlignment="1" applyProtection="1">
      <alignment horizontal="center" wrapText="1"/>
      <protection locked="0"/>
    </xf>
    <xf numFmtId="0" fontId="0" fillId="4" borderId="0" xfId="0" applyFill="1"/>
    <xf numFmtId="0" fontId="0" fillId="7" borderId="0" xfId="0" applyFill="1"/>
    <xf numFmtId="165" fontId="15" fillId="4" borderId="10" xfId="2" applyNumberFormat="1" applyFont="1" applyFill="1" applyBorder="1" applyAlignment="1" applyProtection="1">
      <alignment horizontal="center" vertical="center"/>
    </xf>
    <xf numFmtId="0" fontId="39" fillId="7" borderId="0" xfId="0" applyFont="1" applyFill="1" applyAlignment="1">
      <alignment vertical="top"/>
    </xf>
    <xf numFmtId="0" fontId="38" fillId="7" borderId="0" xfId="0" applyFont="1" applyFill="1" applyAlignment="1"/>
    <xf numFmtId="165" fontId="24" fillId="7" borderId="0" xfId="3" applyNumberFormat="1" applyFont="1" applyFill="1" applyBorder="1" applyAlignment="1" applyProtection="1">
      <alignment horizontal="center"/>
    </xf>
    <xf numFmtId="0" fontId="38" fillId="7" borderId="0" xfId="0" applyFont="1" applyFill="1" applyBorder="1" applyAlignment="1">
      <alignment horizontal="left" indent="1"/>
    </xf>
    <xf numFmtId="0" fontId="3" fillId="0" borderId="0" xfId="1"/>
    <xf numFmtId="175" fontId="0" fillId="0" borderId="0" xfId="0" applyNumberFormat="1"/>
    <xf numFmtId="0" fontId="46" fillId="7" borderId="0" xfId="0" applyFont="1" applyFill="1" applyBorder="1" applyAlignment="1">
      <alignment horizontal="left" indent="1"/>
    </xf>
    <xf numFmtId="0" fontId="0" fillId="0" borderId="0" xfId="0" applyFill="1" applyAlignment="1"/>
    <xf numFmtId="0" fontId="0" fillId="9" borderId="0" xfId="0" applyFill="1"/>
    <xf numFmtId="165" fontId="35" fillId="5" borderId="9" xfId="2" applyNumberFormat="1" applyFont="1" applyFill="1" applyBorder="1" applyAlignment="1" applyProtection="1">
      <alignment horizontal="left" vertical="center" indent="2"/>
    </xf>
    <xf numFmtId="165" fontId="14" fillId="5" borderId="9" xfId="2" applyNumberFormat="1" applyFont="1" applyFill="1" applyBorder="1" applyAlignment="1" applyProtection="1">
      <alignment horizontal="left" vertical="center" indent="2"/>
    </xf>
    <xf numFmtId="165" fontId="45" fillId="7" borderId="0" xfId="3" applyNumberFormat="1" applyFont="1" applyFill="1" applyBorder="1" applyAlignment="1" applyProtection="1"/>
    <xf numFmtId="0" fontId="33" fillId="3" borderId="0" xfId="0" applyFont="1" applyFill="1" applyBorder="1" applyAlignment="1">
      <alignment horizontal="left" vertical="center" indent="3"/>
    </xf>
    <xf numFmtId="165" fontId="32" fillId="6" borderId="12" xfId="2" applyNumberFormat="1" applyFont="1" applyFill="1" applyBorder="1" applyAlignment="1" applyProtection="1">
      <alignment horizontal="right" vertical="top" indent="1"/>
    </xf>
    <xf numFmtId="165" fontId="32" fillId="6" borderId="13" xfId="2" applyNumberFormat="1" applyFont="1" applyFill="1" applyBorder="1" applyAlignment="1" applyProtection="1">
      <alignment horizontal="right" vertical="top" indent="1"/>
    </xf>
    <xf numFmtId="0" fontId="12" fillId="2" borderId="0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center" indent="1" shrinkToFit="1"/>
    </xf>
    <xf numFmtId="0" fontId="17" fillId="6" borderId="0" xfId="0" applyFont="1" applyFill="1" applyBorder="1" applyAlignment="1">
      <alignment horizontal="left" vertical="center" indent="1" shrinkToFit="1"/>
    </xf>
    <xf numFmtId="0" fontId="38" fillId="7" borderId="0" xfId="0" applyFont="1" applyFill="1" applyAlignment="1">
      <alignment horizontal="left" vertical="top" wrapText="1" inden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CFDF5"/>
        </patternFill>
      </fill>
      <border>
        <left style="dashDotDot">
          <color theme="2" tint="-9.9917600024414813E-2"/>
        </left>
        <right style="dashDotDot">
          <color theme="2" tint="-9.9917600024414813E-2"/>
        </right>
        <top style="hair">
          <color theme="2" tint="-9.9948118533890809E-2"/>
        </top>
        <bottom style="hair">
          <color theme="2" tint="-9.9948118533890809E-2"/>
        </bottom>
      </border>
    </dxf>
    <dxf>
      <fill>
        <patternFill>
          <bgColor rgb="FFF9FBEB"/>
        </patternFill>
      </fill>
      <border>
        <left style="dashDot">
          <color theme="2" tint="-9.9948118533890809E-2"/>
        </left>
        <right style="dashDot">
          <color theme="2" tint="-9.9948118533890809E-2"/>
        </right>
      </border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/>
        <strike val="0"/>
        <u/>
        <color rgb="FF0064A2"/>
      </font>
      <fill>
        <patternFill>
          <bgColor theme="0"/>
        </patternFill>
      </fill>
      <border>
        <left/>
        <right/>
        <bottom/>
      </border>
    </dxf>
    <dxf>
      <font>
        <b val="0"/>
        <i/>
        <strike val="0"/>
        <color rgb="FF72AAB2"/>
      </font>
      <numFmt numFmtId="0" formatCode="General"/>
    </dxf>
    <dxf>
      <fill>
        <patternFill>
          <bgColor rgb="FFFFFF99"/>
        </patternFill>
      </fill>
    </dxf>
    <dxf>
      <fill>
        <patternFill>
          <bgColor rgb="FFCDFFEE"/>
        </patternFill>
      </fill>
    </dxf>
    <dxf>
      <font>
        <color rgb="FFEA0000"/>
      </font>
    </dxf>
    <dxf>
      <font>
        <color rgb="FFFFC000"/>
      </font>
    </dxf>
    <dxf>
      <font>
        <color rgb="FF3DEA00"/>
      </font>
    </dxf>
    <dxf>
      <font>
        <color rgb="FF00D684"/>
      </font>
    </dxf>
    <dxf>
      <fill>
        <gradientFill degree="270">
          <stop position="0">
            <color theme="0"/>
          </stop>
          <stop position="1">
            <color rgb="FFEA0000"/>
          </stop>
        </gradientFill>
      </fill>
    </dxf>
    <dxf>
      <fill>
        <gradientFill degree="9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theme="0"/>
          </stop>
          <stop position="1">
            <color rgb="FF3DEA00"/>
          </stop>
        </gradientFill>
      </fill>
    </dxf>
    <dxf>
      <fill>
        <gradientFill degree="270">
          <stop position="0">
            <color theme="0"/>
          </stop>
          <stop position="1">
            <color rgb="FF00F285"/>
          </stop>
        </gradientFill>
      </fill>
    </dxf>
    <dxf>
      <font>
        <color rgb="FFF2CF00"/>
      </font>
    </dxf>
    <dxf>
      <font>
        <color rgb="FFEA0000"/>
      </font>
    </dxf>
    <dxf>
      <font>
        <color rgb="FF3DEA00"/>
      </font>
    </dxf>
    <dxf>
      <font>
        <color rgb="FF00F285"/>
      </font>
    </dxf>
  </dxfs>
  <tableStyles count="0" defaultTableStyle="TableStyleMedium2" defaultPivotStyle="PivotStyleLight16"/>
  <colors>
    <mruColors>
      <color rgb="FF0064A2"/>
      <color rgb="FF0EFC4C"/>
      <color rgb="FF33FF33"/>
      <color rgb="FF53DA08"/>
      <color rgb="FF5AE05D"/>
      <color rgb="FFF2FDCF"/>
      <color rgb="FFC0F515"/>
      <color rgb="FF3DFAFF"/>
      <color rgb="FF0D92FF"/>
      <color rgb="FF368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408168236411057E-2"/>
          <c:y val="0.11076280070586582"/>
          <c:w val="0.75038938718513348"/>
          <c:h val="0.72729444275309707"/>
        </c:manualLayout>
      </c:layout>
      <c:areaChart>
        <c:grouping val="standard"/>
        <c:varyColors val="0"/>
        <c:ser>
          <c:idx val="4"/>
          <c:order val="0"/>
          <c:tx>
            <c:v>Goal</c:v>
          </c:tx>
          <c:spPr>
            <a:gradFill flip="none" rotWithShape="1">
              <a:gsLst>
                <a:gs pos="70795">
                  <a:srgbClr val="72E20C">
                    <a:alpha val="40000"/>
                  </a:srgbClr>
                </a:gs>
                <a:gs pos="52201">
                  <a:srgbClr val="85E70E">
                    <a:alpha val="19000"/>
                  </a:srgbClr>
                </a:gs>
                <a:gs pos="100000">
                  <a:srgbClr val="53DA08">
                    <a:alpha val="30000"/>
                  </a:srgbClr>
                </a:gs>
                <a:gs pos="40000">
                  <a:srgbClr val="96EB10">
                    <a:alpha val="38000"/>
                  </a:srgbClr>
                </a:gs>
                <a:gs pos="20000">
                  <a:srgbClr val="0EFC4C">
                    <a:alpha val="29804"/>
                  </a:srgbClr>
                </a:gs>
              </a:gsLst>
              <a:path path="circle">
                <a:fillToRect l="100000" t="100000"/>
              </a:path>
              <a:tileRect r="-100000" b="-100000"/>
            </a:gradFill>
            <a:ln w="15875">
              <a:noFill/>
              <a:prstDash val="dash"/>
            </a:ln>
            <a:effectLst>
              <a:innerShdw blurRad="63500" dist="50800" dir="19560000">
                <a:schemeClr val="accent6">
                  <a:lumMod val="50000"/>
                </a:schemeClr>
              </a:innerShdw>
            </a:effectLst>
          </c:spPr>
          <c:val>
            <c:numRef>
              <c:f>[0]!whatuneed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116140.69315383144</c:v>
                </c:pt>
                <c:pt idx="2">
                  <c:v>133411.2348284311</c:v>
                </c:pt>
                <c:pt idx="3">
                  <c:v>151890.71442025271</c:v>
                </c:pt>
                <c:pt idx="4">
                  <c:v>171663.75758350184</c:v>
                </c:pt>
                <c:pt idx="5">
                  <c:v>192820.91376817841</c:v>
                </c:pt>
                <c:pt idx="6">
                  <c:v>215459.07088578233</c:v>
                </c:pt>
                <c:pt idx="7">
                  <c:v>239681.89900161856</c:v>
                </c:pt>
                <c:pt idx="8">
                  <c:v>265600.32508556329</c:v>
                </c:pt>
                <c:pt idx="9">
                  <c:v>293333.04099538422</c:v>
                </c:pt>
                <c:pt idx="10">
                  <c:v>323007.0470188926</c:v>
                </c:pt>
                <c:pt idx="11">
                  <c:v>354758.23346404656</c:v>
                </c:pt>
                <c:pt idx="12">
                  <c:v>388732.00296036131</c:v>
                </c:pt>
                <c:pt idx="13">
                  <c:v>425083.93632141809</c:v>
                </c:pt>
                <c:pt idx="14">
                  <c:v>463980.50501774886</c:v>
                </c:pt>
                <c:pt idx="15">
                  <c:v>505599.83352282277</c:v>
                </c:pt>
                <c:pt idx="16">
                  <c:v>550132.51502325176</c:v>
                </c:pt>
                <c:pt idx="17">
                  <c:v>597782.48422871088</c:v>
                </c:pt>
                <c:pt idx="18">
                  <c:v>648767.95127855206</c:v>
                </c:pt>
                <c:pt idx="19">
                  <c:v>703322.40102188219</c:v>
                </c:pt>
                <c:pt idx="20">
                  <c:v>761695.66224724543</c:v>
                </c:pt>
                <c:pt idx="21">
                  <c:v>824155.0517583841</c:v>
                </c:pt>
                <c:pt idx="22">
                  <c:v>890986.59853530244</c:v>
                </c:pt>
                <c:pt idx="23">
                  <c:v>962496.35358660505</c:v>
                </c:pt>
                <c:pt idx="24">
                  <c:v>1039011.7914914988</c:v>
                </c:pt>
                <c:pt idx="25">
                  <c:v>1120883.3100497352</c:v>
                </c:pt>
                <c:pt idx="26">
                  <c:v>1208485.8349070481</c:v>
                </c:pt>
                <c:pt idx="27">
                  <c:v>1302220.536504373</c:v>
                </c:pt>
                <c:pt idx="28">
                  <c:v>1402516.6672135105</c:v>
                </c:pt>
                <c:pt idx="29">
                  <c:v>1509833.5270722876</c:v>
                </c:pt>
                <c:pt idx="30">
                  <c:v>1624662.5671211793</c:v>
                </c:pt>
                <c:pt idx="31">
                  <c:v>1631790.3175951797</c:v>
                </c:pt>
                <c:pt idx="32">
                  <c:v>1637285.0380178704</c:v>
                </c:pt>
                <c:pt idx="33">
                  <c:v>1640989.7768339701</c:v>
                </c:pt>
                <c:pt idx="34">
                  <c:v>1642735.7430902936</c:v>
                </c:pt>
                <c:pt idx="35">
                  <c:v>1642341.4606221188</c:v>
                </c:pt>
                <c:pt idx="36">
                  <c:v>1639611.8626914818</c:v>
                </c:pt>
                <c:pt idx="37">
                  <c:v>1634337.3229022166</c:v>
                </c:pt>
                <c:pt idx="38">
                  <c:v>1626292.6179241491</c:v>
                </c:pt>
                <c:pt idx="39">
                  <c:v>1615235.8172459926</c:v>
                </c:pt>
                <c:pt idx="40">
                  <c:v>1600907.094841708</c:v>
                </c:pt>
                <c:pt idx="41">
                  <c:v>1583027.4572768935</c:v>
                </c:pt>
                <c:pt idx="42">
                  <c:v>1561297.3823984675</c:v>
                </c:pt>
                <c:pt idx="43">
                  <c:v>1535395.3623407956</c:v>
                </c:pt>
                <c:pt idx="44">
                  <c:v>1504976.344142575</c:v>
                </c:pt>
                <c:pt idx="45">
                  <c:v>1469670.0607992376</c:v>
                </c:pt>
                <c:pt idx="46">
                  <c:v>1429079.2450732002</c:v>
                </c:pt>
                <c:pt idx="47">
                  <c:v>1382777.7178467005</c:v>
                </c:pt>
                <c:pt idx="48">
                  <c:v>1330308.3422267132</c:v>
                </c:pt>
                <c:pt idx="49">
                  <c:v>1271180.8339959418</c:v>
                </c:pt>
                <c:pt idx="50">
                  <c:v>1204869.4183452835</c:v>
                </c:pt>
                <c:pt idx="51">
                  <c:v>1130810.3221184716</c:v>
                </c:pt>
                <c:pt idx="52">
                  <c:v>1048399.0900455633</c:v>
                </c:pt>
                <c:pt idx="53">
                  <c:v>956987.71263512736</c:v>
                </c:pt>
                <c:pt idx="54">
                  <c:v>855881.55253168847</c:v>
                </c:pt>
                <c:pt idx="55">
                  <c:v>744336.05522125086</c:v>
                </c:pt>
                <c:pt idx="56">
                  <c:v>621553.22897932958</c:v>
                </c:pt>
                <c:pt idx="57">
                  <c:v>486677.8778983255</c:v>
                </c:pt>
                <c:pt idx="58">
                  <c:v>338793.57069945993</c:v>
                </c:pt>
                <c:pt idx="59">
                  <c:v>176918.32682363884</c:v>
                </c:pt>
                <c:pt idx="60">
                  <c:v>1.4605175238102676E-8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2-44B1-B4AB-1382A452D247}"/>
            </c:ext>
          </c:extLst>
        </c:ser>
        <c:ser>
          <c:idx val="0"/>
          <c:order val="3"/>
          <c:tx>
            <c:v> Savings</c:v>
          </c:tx>
          <c:spPr>
            <a:gradFill>
              <a:gsLst>
                <a:gs pos="100000">
                  <a:srgbClr val="0E6C6A"/>
                </a:gs>
                <a:gs pos="31000">
                  <a:srgbClr val="087EA8">
                    <a:alpha val="96000"/>
                  </a:srgbClr>
                </a:gs>
                <a:gs pos="54000">
                  <a:srgbClr val="4BC7FF">
                    <a:alpha val="76000"/>
                  </a:srgbClr>
                </a:gs>
                <a:gs pos="0">
                  <a:srgbClr val="006192">
                    <a:alpha val="43922"/>
                  </a:srgbClr>
                </a:gs>
              </a:gsLst>
              <a:lin ang="5400000" scaled="1"/>
            </a:gradFill>
            <a:ln>
              <a:solidFill>
                <a:srgbClr val="6DFFF8"/>
              </a:solidFill>
            </a:ln>
            <a:effectLst/>
          </c:spPr>
          <c:cat>
            <c:strRef>
              <c:f>[0]!years_chart</c:f>
              <c:strCache>
                <c:ptCount val="61"/>
                <c:pt idx="0">
                  <c:v>30</c:v>
                </c:pt>
                <c:pt idx="7">
                  <c:v>23</c:v>
                </c:pt>
                <c:pt idx="15">
                  <c:v>15</c:v>
                </c:pt>
                <c:pt idx="22">
                  <c:v>8</c:v>
                </c:pt>
                <c:pt idx="30">
                  <c:v>0</c:v>
                </c:pt>
                <c:pt idx="38">
                  <c:v>8</c:v>
                </c:pt>
                <c:pt idx="45">
                  <c:v>15</c:v>
                </c:pt>
                <c:pt idx="53">
                  <c:v>23</c:v>
                </c:pt>
                <c:pt idx="60">
                  <c:v>30</c:v>
                </c:pt>
              </c:strCache>
            </c:strRef>
          </c:cat>
          <c:val>
            <c:numRef>
              <c:f>[0]!portfolio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112000</c:v>
                </c:pt>
                <c:pt idx="2">
                  <c:v>124840</c:v>
                </c:pt>
                <c:pt idx="3">
                  <c:v>138578.80000000002</c:v>
                </c:pt>
                <c:pt idx="4">
                  <c:v>153279.31600000002</c:v>
                </c:pt>
                <c:pt idx="5">
                  <c:v>169008.86812000003</c:v>
                </c:pt>
                <c:pt idx="6">
                  <c:v>185839.48888840005</c:v>
                </c:pt>
                <c:pt idx="7">
                  <c:v>203848.25311058806</c:v>
                </c:pt>
                <c:pt idx="8">
                  <c:v>223117.63082832925</c:v>
                </c:pt>
                <c:pt idx="9">
                  <c:v>243735.86498631231</c:v>
                </c:pt>
                <c:pt idx="10">
                  <c:v>265797.37553535419</c:v>
                </c:pt>
                <c:pt idx="11">
                  <c:v>289403.19182282902</c:v>
                </c:pt>
                <c:pt idx="12">
                  <c:v>314661.41525042709</c:v>
                </c:pt>
                <c:pt idx="13">
                  <c:v>341687.714317957</c:v>
                </c:pt>
                <c:pt idx="14">
                  <c:v>370605.85432021401</c:v>
                </c:pt>
                <c:pt idx="15">
                  <c:v>401548.26412262901</c:v>
                </c:pt>
                <c:pt idx="16">
                  <c:v>434656.64261121309</c:v>
                </c:pt>
                <c:pt idx="17">
                  <c:v>470082.60759399802</c:v>
                </c:pt>
                <c:pt idx="18">
                  <c:v>507988.39012557792</c:v>
                </c:pt>
                <c:pt idx="19">
                  <c:v>548547.57743436843</c:v>
                </c:pt>
                <c:pt idx="20">
                  <c:v>591945.90785477427</c:v>
                </c:pt>
                <c:pt idx="21">
                  <c:v>638382.12140460848</c:v>
                </c:pt>
                <c:pt idx="22">
                  <c:v>688068.86990293115</c:v>
                </c:pt>
                <c:pt idx="23">
                  <c:v>741233.69079613639</c:v>
                </c:pt>
                <c:pt idx="24">
                  <c:v>798120.049151866</c:v>
                </c:pt>
                <c:pt idx="25">
                  <c:v>858988.45259249664</c:v>
                </c:pt>
                <c:pt idx="26">
                  <c:v>924117.64427397144</c:v>
                </c:pt>
                <c:pt idx="27">
                  <c:v>993805.87937314948</c:v>
                </c:pt>
                <c:pt idx="28">
                  <c:v>1068372.29092927</c:v>
                </c:pt>
                <c:pt idx="29">
                  <c:v>1148158.3512943189</c:v>
                </c:pt>
                <c:pt idx="30">
                  <c:v>1233529.4358849213</c:v>
                </c:pt>
                <c:pt idx="31">
                  <c:v>1213277.8671723837</c:v>
                </c:pt>
                <c:pt idx="32">
                  <c:v>1189476.7160654787</c:v>
                </c:pt>
                <c:pt idx="33">
                  <c:v>1161834.8723449109</c:v>
                </c:pt>
                <c:pt idx="34">
                  <c:v>1130039.9952870002</c:v>
                </c:pt>
                <c:pt idx="35">
                  <c:v>1093757.0104725948</c:v>
                </c:pt>
                <c:pt idx="36">
                  <c:v>1052626.501031491</c:v>
                </c:pt>
                <c:pt idx="37">
                  <c:v>1006262.9859260261</c:v>
                </c:pt>
                <c:pt idx="38">
                  <c:v>954253.07735962537</c:v>
                </c:pt>
                <c:pt idx="39">
                  <c:v>896153.50884195208</c:v>
                </c:pt>
                <c:pt idx="40">
                  <c:v>831489.02484938479</c:v>
                </c:pt>
                <c:pt idx="41">
                  <c:v>759750.12238510768</c:v>
                </c:pt>
                <c:pt idx="42">
                  <c:v>680390.63406425656</c:v>
                </c:pt>
                <c:pt idx="43">
                  <c:v>592825.14162318956</c:v>
                </c:pt>
                <c:pt idx="44">
                  <c:v>496426.20797473664</c:v>
                </c:pt>
                <c:pt idx="45">
                  <c:v>390521.41509965045</c:v>
                </c:pt>
                <c:pt idx="46">
                  <c:v>274390.19417464186</c:v>
                </c:pt>
                <c:pt idx="47">
                  <c:v>147260.433385243</c:v>
                </c:pt>
                <c:pt idx="48">
                  <c:v>8304.8478529537351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2-44B1-B4AB-1382A452D247}"/>
            </c:ext>
          </c:extLst>
        </c:ser>
        <c:ser>
          <c:idx val="5"/>
          <c:order val="4"/>
          <c:tx>
            <c:strRef>
              <c:f>'Annual Breakdown'!$L$3</c:f>
              <c:strCache>
                <c:ptCount val="1"/>
                <c:pt idx="0">
                  <c:v>Portfolio -</c:v>
                </c:pt>
              </c:strCache>
            </c:strRef>
          </c:tx>
          <c:spPr>
            <a:gradFill>
              <a:gsLst>
                <a:gs pos="100000">
                  <a:srgbClr val="E93605">
                    <a:alpha val="87000"/>
                  </a:srgbClr>
                </a:gs>
                <a:gs pos="0">
                  <a:srgbClr val="FF3701">
                    <a:alpha val="23000"/>
                  </a:srgbClr>
                </a:gs>
              </a:gsLst>
              <a:lin ang="5400000" scaled="1"/>
            </a:gradFill>
            <a:ln w="22225">
              <a:solidFill>
                <a:srgbClr val="FF0000"/>
              </a:solidFill>
            </a:ln>
            <a:effectLst/>
          </c:spPr>
          <c:val>
            <c:numRef>
              <c:f>[0]!portfolio_neg</c:f>
              <c:numCache>
                <c:formatCode>"$"#,##0_);\-"$"#,##0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-133984.02334951487</c:v>
                </c:pt>
                <c:pt idx="50">
                  <c:v>-279118.6719760329</c:v>
                </c:pt>
                <c:pt idx="51">
                  <c:v>-427156.01357508125</c:v>
                </c:pt>
                <c:pt idx="52">
                  <c:v>-578154.1020061106</c:v>
                </c:pt>
                <c:pt idx="53">
                  <c:v>-732172.15220576047</c:v>
                </c:pt>
                <c:pt idx="54">
                  <c:v>-889270.56340940343</c:v>
                </c:pt>
                <c:pt idx="55">
                  <c:v>-1049510.9428371191</c:v>
                </c:pt>
                <c:pt idx="56">
                  <c:v>-1212956.1298533892</c:v>
                </c:pt>
                <c:pt idx="57">
                  <c:v>-1379670.2206099848</c:v>
                </c:pt>
                <c:pt idx="58">
                  <c:v>-1549718.5931817123</c:v>
                </c:pt>
                <c:pt idx="59">
                  <c:v>-1723167.9332048744</c:v>
                </c:pt>
                <c:pt idx="60">
                  <c:v>-1900086.2600284996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2-44B1-B4AB-1382A452D247}"/>
            </c:ext>
          </c:extLst>
        </c:ser>
        <c:ser>
          <c:idx val="1"/>
          <c:order val="8"/>
          <c:tx>
            <c:strRef>
              <c:f>'Annual Breakdown'!$H$3</c:f>
              <c:strCache>
                <c:ptCount val="1"/>
                <c:pt idx="0">
                  <c:v>Income Withdrawal</c:v>
                </c:pt>
              </c:strCache>
            </c:strRef>
          </c:tx>
          <c:spPr>
            <a:gradFill>
              <a:gsLst>
                <a:gs pos="42000">
                  <a:srgbClr val="FFC000">
                    <a:lumMod val="79000"/>
                    <a:lumOff val="21000"/>
                    <a:alpha val="74000"/>
                  </a:srgbClr>
                </a:gs>
                <a:gs pos="100000">
                  <a:srgbClr val="E8CD02">
                    <a:alpha val="82000"/>
                    <a:lumMod val="62000"/>
                  </a:srgbClr>
                </a:gs>
                <a:gs pos="1000">
                  <a:srgbClr val="FFC000">
                    <a:alpha val="88000"/>
                    <a:lumMod val="77000"/>
                  </a:srgbClr>
                </a:gs>
              </a:gsLst>
              <a:lin ang="5400000" scaled="1"/>
            </a:gradFill>
            <a:ln w="9525" cap="sq" cmpd="sng">
              <a:solidFill>
                <a:srgbClr val="FFC000"/>
              </a:solidFill>
              <a:prstDash val="solid"/>
            </a:ln>
            <a:effectLst/>
          </c:spPr>
          <c:cat>
            <c:strRef>
              <c:f>[0]!years_chart</c:f>
              <c:strCache>
                <c:ptCount val="61"/>
                <c:pt idx="0">
                  <c:v>30</c:v>
                </c:pt>
                <c:pt idx="7">
                  <c:v>23</c:v>
                </c:pt>
                <c:pt idx="15">
                  <c:v>15</c:v>
                </c:pt>
                <c:pt idx="22">
                  <c:v>8</c:v>
                </c:pt>
                <c:pt idx="30">
                  <c:v>0</c:v>
                </c:pt>
                <c:pt idx="38">
                  <c:v>8</c:v>
                </c:pt>
                <c:pt idx="45">
                  <c:v>15</c:v>
                </c:pt>
                <c:pt idx="53">
                  <c:v>23</c:v>
                </c:pt>
                <c:pt idx="60">
                  <c:v>30</c:v>
                </c:pt>
              </c:strCache>
            </c:strRef>
          </c:cat>
          <c:val>
            <c:numRef>
              <c:f>[0]!income_withdrawal</c:f>
              <c:numCache>
                <c:formatCode>"$"#,##0_);\("$"#,##0\);"-"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99624.887125684443</c:v>
                </c:pt>
                <c:pt idx="32">
                  <c:v>101617.38486819813</c:v>
                </c:pt>
                <c:pt idx="33">
                  <c:v>103649.7325655621</c:v>
                </c:pt>
                <c:pt idx="34">
                  <c:v>105722.72721687333</c:v>
                </c:pt>
                <c:pt idx="35">
                  <c:v>107837.1817612108</c:v>
                </c:pt>
                <c:pt idx="36">
                  <c:v>109993.92539643502</c:v>
                </c:pt>
                <c:pt idx="37">
                  <c:v>112193.80390436373</c:v>
                </c:pt>
                <c:pt idx="38">
                  <c:v>114437.67998245101</c:v>
                </c:pt>
                <c:pt idx="39">
                  <c:v>116726.43358210003</c:v>
                </c:pt>
                <c:pt idx="40">
                  <c:v>119060.96225374204</c:v>
                </c:pt>
                <c:pt idx="41">
                  <c:v>121442.18149881688</c:v>
                </c:pt>
                <c:pt idx="42">
                  <c:v>123871.02512879322</c:v>
                </c:pt>
                <c:pt idx="43">
                  <c:v>126348.44563136909</c:v>
                </c:pt>
                <c:pt idx="44">
                  <c:v>128875.41454399648</c:v>
                </c:pt>
                <c:pt idx="45">
                  <c:v>131452.9228348764</c:v>
                </c:pt>
                <c:pt idx="46">
                  <c:v>134081.98129157393</c:v>
                </c:pt>
                <c:pt idx="47">
                  <c:v>136763.62091740541</c:v>
                </c:pt>
                <c:pt idx="48">
                  <c:v>139498.89333575353</c:v>
                </c:pt>
                <c:pt idx="49">
                  <c:v>142288.87120246861</c:v>
                </c:pt>
                <c:pt idx="50">
                  <c:v>145134.648626518</c:v>
                </c:pt>
                <c:pt idx="51">
                  <c:v>148037.34159904835</c:v>
                </c:pt>
                <c:pt idx="52">
                  <c:v>150998.08843102932</c:v>
                </c:pt>
                <c:pt idx="53">
                  <c:v>154018.05019964991</c:v>
                </c:pt>
                <c:pt idx="54">
                  <c:v>157098.4112036429</c:v>
                </c:pt>
                <c:pt idx="55">
                  <c:v>160240.37942771576</c:v>
                </c:pt>
                <c:pt idx="56">
                  <c:v>163445.18701627007</c:v>
                </c:pt>
                <c:pt idx="57">
                  <c:v>166714.09075659548</c:v>
                </c:pt>
                <c:pt idx="58">
                  <c:v>170048.37257172741</c:v>
                </c:pt>
                <c:pt idx="59">
                  <c:v>173449.34002316196</c:v>
                </c:pt>
                <c:pt idx="60">
                  <c:v>176918.32682362519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2-44B1-B4AB-1382A452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844864"/>
        <c:axId val="546843232"/>
      </c:areaChart>
      <c:areaChart>
        <c:grouping val="standard"/>
        <c:varyColors val="0"/>
        <c:ser>
          <c:idx val="2"/>
          <c:order val="2"/>
          <c:tx>
            <c:v>Vertaxis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multiLvlStrRef>
              <c:f>[0]!Horz_labels</c:f>
              <c:multiLvlStrCache>
                <c:ptCount val="61"/>
                <c:lvl>
                  <c:pt idx="0">
                    <c:v>30</c:v>
                  </c:pt>
                  <c:pt idx="7">
                    <c:v>23</c:v>
                  </c:pt>
                  <c:pt idx="15">
                    <c:v>15</c:v>
                  </c:pt>
                  <c:pt idx="22">
                    <c:v>8</c:v>
                  </c:pt>
                  <c:pt idx="30">
                    <c:v>0</c:v>
                  </c:pt>
                  <c:pt idx="38">
                    <c:v>8</c:v>
                  </c:pt>
                  <c:pt idx="45">
                    <c:v>15</c:v>
                  </c:pt>
                  <c:pt idx="53">
                    <c:v>23</c:v>
                  </c:pt>
                  <c:pt idx="60">
                    <c:v>30</c:v>
                  </c:pt>
                </c:lvl>
                <c:lvl>
                  <c:pt idx="0">
                    <c:v>Years Remaining to Save</c:v>
                  </c:pt>
                  <c:pt idx="49">
                    <c:v>Retirement</c:v>
                  </c:pt>
                </c:lvl>
              </c:multiLvlStrCache>
            </c:multiLvlStrRef>
          </c:cat>
          <c:val>
            <c:numRef>
              <c:f>[0]!splitline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2-44B1-B4AB-1382A452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846496"/>
        <c:axId val="546845408"/>
      </c:areaChart>
      <c:lineChart>
        <c:grouping val="standard"/>
        <c:varyColors val="0"/>
        <c:ser>
          <c:idx val="3"/>
          <c:order val="1"/>
          <c:tx>
            <c:v>Breakpoint</c:v>
          </c:tx>
          <c:spPr>
            <a:ln w="53975" cap="rnd">
              <a:noFill/>
              <a:round/>
            </a:ln>
            <a:effectLst>
              <a:glow rad="25400">
                <a:schemeClr val="bg1">
                  <a:alpha val="68000"/>
                </a:schemeClr>
              </a:glow>
            </a:effectLst>
          </c:spPr>
          <c:marker>
            <c:symbol val="diamond"/>
            <c:size val="13"/>
            <c:spPr>
              <a:noFill/>
              <a:ln w="28575">
                <a:solidFill>
                  <a:srgbClr val="FF0000"/>
                </a:solidFill>
              </a:ln>
              <a:effectLst>
                <a:glow rad="25400">
                  <a:schemeClr val="bg1">
                    <a:alpha val="68000"/>
                  </a:schemeClr>
                </a:glow>
              </a:effectLst>
            </c:spPr>
          </c:marker>
          <c:dPt>
            <c:idx val="37"/>
            <c:marker>
              <c:symbol val="diamond"/>
              <c:size val="13"/>
              <c:spPr>
                <a:noFill/>
                <a:ln w="28575">
                  <a:solidFill>
                    <a:srgbClr val="FF0000"/>
                  </a:solidFill>
                </a:ln>
                <a:effectLst>
                  <a:glow rad="25400">
                    <a:schemeClr val="bg1">
                      <a:alpha val="68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232-44B1-B4AB-1382A452D247}"/>
              </c:ext>
            </c:extLst>
          </c:dPt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[0]!chart_label</c:f>
              <c:numCache>
                <c:formatCode>"$"#,##0.00_);\("$"#,##0.00\)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32-44B1-B4AB-1382A452D247}"/>
            </c:ext>
          </c:extLst>
        </c:ser>
        <c:ser>
          <c:idx val="6"/>
          <c:order val="5"/>
          <c:tx>
            <c:v>Savings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 w="9525">
                <a:gradFill flip="none" rotWithShape="1">
                  <a:gsLst>
                    <a:gs pos="0">
                      <a:srgbClr val="0D92FF"/>
                    </a:gs>
                    <a:gs pos="100000">
                      <a:srgbClr val="3DFAFF"/>
                    </a:gs>
                  </a:gsLst>
                  <a:lin ang="10800000" scaled="1"/>
                  <a:tileRect/>
                </a:gradFill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[0]!portfolio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112000</c:v>
                </c:pt>
                <c:pt idx="2">
                  <c:v>124840</c:v>
                </c:pt>
                <c:pt idx="3">
                  <c:v>138578.80000000002</c:v>
                </c:pt>
                <c:pt idx="4">
                  <c:v>153279.31600000002</c:v>
                </c:pt>
                <c:pt idx="5">
                  <c:v>169008.86812000003</c:v>
                </c:pt>
                <c:pt idx="6">
                  <c:v>185839.48888840005</c:v>
                </c:pt>
                <c:pt idx="7">
                  <c:v>203848.25311058806</c:v>
                </c:pt>
                <c:pt idx="8">
                  <c:v>223117.63082832925</c:v>
                </c:pt>
                <c:pt idx="9">
                  <c:v>243735.86498631231</c:v>
                </c:pt>
                <c:pt idx="10">
                  <c:v>265797.37553535419</c:v>
                </c:pt>
                <c:pt idx="11">
                  <c:v>289403.19182282902</c:v>
                </c:pt>
                <c:pt idx="12">
                  <c:v>314661.41525042709</c:v>
                </c:pt>
                <c:pt idx="13">
                  <c:v>341687.714317957</c:v>
                </c:pt>
                <c:pt idx="14">
                  <c:v>370605.85432021401</c:v>
                </c:pt>
                <c:pt idx="15">
                  <c:v>401548.26412262901</c:v>
                </c:pt>
                <c:pt idx="16">
                  <c:v>434656.64261121309</c:v>
                </c:pt>
                <c:pt idx="17">
                  <c:v>470082.60759399802</c:v>
                </c:pt>
                <c:pt idx="18">
                  <c:v>507988.39012557792</c:v>
                </c:pt>
                <c:pt idx="19">
                  <c:v>548547.57743436843</c:v>
                </c:pt>
                <c:pt idx="20">
                  <c:v>591945.90785477427</c:v>
                </c:pt>
                <c:pt idx="21">
                  <c:v>638382.12140460848</c:v>
                </c:pt>
                <c:pt idx="22">
                  <c:v>688068.86990293115</c:v>
                </c:pt>
                <c:pt idx="23">
                  <c:v>741233.69079613639</c:v>
                </c:pt>
                <c:pt idx="24">
                  <c:v>798120.049151866</c:v>
                </c:pt>
                <c:pt idx="25">
                  <c:v>858988.45259249664</c:v>
                </c:pt>
                <c:pt idx="26">
                  <c:v>924117.64427397144</c:v>
                </c:pt>
                <c:pt idx="27">
                  <c:v>993805.87937314948</c:v>
                </c:pt>
                <c:pt idx="28">
                  <c:v>1068372.29092927</c:v>
                </c:pt>
                <c:pt idx="29">
                  <c:v>1148158.3512943189</c:v>
                </c:pt>
                <c:pt idx="30">
                  <c:v>1233529.4358849213</c:v>
                </c:pt>
                <c:pt idx="31">
                  <c:v>1213277.8671723837</c:v>
                </c:pt>
                <c:pt idx="32">
                  <c:v>1189476.7160654787</c:v>
                </c:pt>
                <c:pt idx="33">
                  <c:v>1161834.8723449109</c:v>
                </c:pt>
                <c:pt idx="34">
                  <c:v>1130039.9952870002</c:v>
                </c:pt>
                <c:pt idx="35">
                  <c:v>1093757.0104725948</c:v>
                </c:pt>
                <c:pt idx="36">
                  <c:v>1052626.501031491</c:v>
                </c:pt>
                <c:pt idx="37">
                  <c:v>1006262.9859260261</c:v>
                </c:pt>
                <c:pt idx="38">
                  <c:v>954253.07735962537</c:v>
                </c:pt>
                <c:pt idx="39">
                  <c:v>896153.50884195208</c:v>
                </c:pt>
                <c:pt idx="40">
                  <c:v>831489.02484938479</c:v>
                </c:pt>
                <c:pt idx="41">
                  <c:v>759750.12238510768</c:v>
                </c:pt>
                <c:pt idx="42">
                  <c:v>680390.63406425656</c:v>
                </c:pt>
                <c:pt idx="43">
                  <c:v>592825.14162318956</c:v>
                </c:pt>
                <c:pt idx="44">
                  <c:v>496426.20797473664</c:v>
                </c:pt>
                <c:pt idx="45">
                  <c:v>390521.41509965045</c:v>
                </c:pt>
                <c:pt idx="46">
                  <c:v>274390.19417464186</c:v>
                </c:pt>
                <c:pt idx="47">
                  <c:v>147260.433385243</c:v>
                </c:pt>
                <c:pt idx="48">
                  <c:v>8304.8478529537351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32-44B1-B4AB-1382A452D247}"/>
            </c:ext>
          </c:extLst>
        </c:ser>
        <c:ser>
          <c:idx val="7"/>
          <c:order val="6"/>
          <c:tx>
            <c:v>Portfolio- line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860000"/>
              </a:solidFill>
              <a:ln w="9525">
                <a:gradFill flip="none" rotWithShape="1">
                  <a:gsLst>
                    <a:gs pos="0">
                      <a:srgbClr val="FF6600">
                        <a:alpha val="56000"/>
                      </a:srgbClr>
                    </a:gs>
                    <a:gs pos="100000">
                      <a:srgbClr val="FF0000">
                        <a:alpha val="58000"/>
                      </a:srgb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[0]!portfolio_neg</c:f>
              <c:numCache>
                <c:formatCode>"$"#,##0_);\-"$"#,##0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-133984.02334951487</c:v>
                </c:pt>
                <c:pt idx="50">
                  <c:v>-279118.6719760329</c:v>
                </c:pt>
                <c:pt idx="51">
                  <c:v>-427156.01357508125</c:v>
                </c:pt>
                <c:pt idx="52">
                  <c:v>-578154.1020061106</c:v>
                </c:pt>
                <c:pt idx="53">
                  <c:v>-732172.15220576047</c:v>
                </c:pt>
                <c:pt idx="54">
                  <c:v>-889270.56340940343</c:v>
                </c:pt>
                <c:pt idx="55">
                  <c:v>-1049510.9428371191</c:v>
                </c:pt>
                <c:pt idx="56">
                  <c:v>-1212956.1298533892</c:v>
                </c:pt>
                <c:pt idx="57">
                  <c:v>-1379670.2206099848</c:v>
                </c:pt>
                <c:pt idx="58">
                  <c:v>-1549718.5931817123</c:v>
                </c:pt>
                <c:pt idx="59">
                  <c:v>-1723167.9332048744</c:v>
                </c:pt>
                <c:pt idx="60">
                  <c:v>-1900086.2600284996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232-44B1-B4AB-1382A452D247}"/>
            </c:ext>
          </c:extLst>
        </c:ser>
        <c:ser>
          <c:idx val="8"/>
          <c:order val="7"/>
          <c:tx>
            <c:v>Goal</c:v>
          </c:tx>
          <c:spPr>
            <a:ln w="15875" cap="rnd">
              <a:solidFill>
                <a:srgbClr val="33FF33">
                  <a:alpha val="86000"/>
                </a:srgb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[0]!whatuneed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116140.69315383144</c:v>
                </c:pt>
                <c:pt idx="2">
                  <c:v>133411.2348284311</c:v>
                </c:pt>
                <c:pt idx="3">
                  <c:v>151890.71442025271</c:v>
                </c:pt>
                <c:pt idx="4">
                  <c:v>171663.75758350184</c:v>
                </c:pt>
                <c:pt idx="5">
                  <c:v>192820.91376817841</c:v>
                </c:pt>
                <c:pt idx="6">
                  <c:v>215459.07088578233</c:v>
                </c:pt>
                <c:pt idx="7">
                  <c:v>239681.89900161856</c:v>
                </c:pt>
                <c:pt idx="8">
                  <c:v>265600.32508556329</c:v>
                </c:pt>
                <c:pt idx="9">
                  <c:v>293333.04099538422</c:v>
                </c:pt>
                <c:pt idx="10">
                  <c:v>323007.0470188926</c:v>
                </c:pt>
                <c:pt idx="11">
                  <c:v>354758.23346404656</c:v>
                </c:pt>
                <c:pt idx="12">
                  <c:v>388732.00296036131</c:v>
                </c:pt>
                <c:pt idx="13">
                  <c:v>425083.93632141809</c:v>
                </c:pt>
                <c:pt idx="14">
                  <c:v>463980.50501774886</c:v>
                </c:pt>
                <c:pt idx="15">
                  <c:v>505599.83352282277</c:v>
                </c:pt>
                <c:pt idx="16">
                  <c:v>550132.51502325176</c:v>
                </c:pt>
                <c:pt idx="17">
                  <c:v>597782.48422871088</c:v>
                </c:pt>
                <c:pt idx="18">
                  <c:v>648767.95127855206</c:v>
                </c:pt>
                <c:pt idx="19">
                  <c:v>703322.40102188219</c:v>
                </c:pt>
                <c:pt idx="20">
                  <c:v>761695.66224724543</c:v>
                </c:pt>
                <c:pt idx="21">
                  <c:v>824155.0517583841</c:v>
                </c:pt>
                <c:pt idx="22">
                  <c:v>890986.59853530244</c:v>
                </c:pt>
                <c:pt idx="23">
                  <c:v>962496.35358660505</c:v>
                </c:pt>
                <c:pt idx="24">
                  <c:v>1039011.7914914988</c:v>
                </c:pt>
                <c:pt idx="25">
                  <c:v>1120883.3100497352</c:v>
                </c:pt>
                <c:pt idx="26">
                  <c:v>1208485.8349070481</c:v>
                </c:pt>
                <c:pt idx="27">
                  <c:v>1302220.536504373</c:v>
                </c:pt>
                <c:pt idx="28">
                  <c:v>1402516.6672135105</c:v>
                </c:pt>
                <c:pt idx="29">
                  <c:v>1509833.5270722876</c:v>
                </c:pt>
                <c:pt idx="30">
                  <c:v>1624662.5671211793</c:v>
                </c:pt>
                <c:pt idx="31">
                  <c:v>1631790.3175951797</c:v>
                </c:pt>
                <c:pt idx="32">
                  <c:v>1637285.0380178704</c:v>
                </c:pt>
                <c:pt idx="33">
                  <c:v>1640989.7768339701</c:v>
                </c:pt>
                <c:pt idx="34">
                  <c:v>1642735.7430902936</c:v>
                </c:pt>
                <c:pt idx="35">
                  <c:v>1642341.4606221188</c:v>
                </c:pt>
                <c:pt idx="36">
                  <c:v>1639611.8626914818</c:v>
                </c:pt>
                <c:pt idx="37">
                  <c:v>1634337.3229022166</c:v>
                </c:pt>
                <c:pt idx="38">
                  <c:v>1626292.6179241491</c:v>
                </c:pt>
                <c:pt idx="39">
                  <c:v>1615235.8172459926</c:v>
                </c:pt>
                <c:pt idx="40">
                  <c:v>1600907.094841708</c:v>
                </c:pt>
                <c:pt idx="41">
                  <c:v>1583027.4572768935</c:v>
                </c:pt>
                <c:pt idx="42">
                  <c:v>1561297.3823984675</c:v>
                </c:pt>
                <c:pt idx="43">
                  <c:v>1535395.3623407956</c:v>
                </c:pt>
                <c:pt idx="44">
                  <c:v>1504976.344142575</c:v>
                </c:pt>
                <c:pt idx="45">
                  <c:v>1469670.0607992376</c:v>
                </c:pt>
                <c:pt idx="46">
                  <c:v>1429079.2450732002</c:v>
                </c:pt>
                <c:pt idx="47">
                  <c:v>1382777.7178467005</c:v>
                </c:pt>
                <c:pt idx="48">
                  <c:v>1330308.3422267132</c:v>
                </c:pt>
                <c:pt idx="49">
                  <c:v>1271180.8339959418</c:v>
                </c:pt>
                <c:pt idx="50">
                  <c:v>1204869.4183452835</c:v>
                </c:pt>
                <c:pt idx="51">
                  <c:v>1130810.3221184716</c:v>
                </c:pt>
                <c:pt idx="52">
                  <c:v>1048399.0900455633</c:v>
                </c:pt>
                <c:pt idx="53">
                  <c:v>956987.71263512736</c:v>
                </c:pt>
                <c:pt idx="54">
                  <c:v>855881.55253168847</c:v>
                </c:pt>
                <c:pt idx="55">
                  <c:v>744336.05522125086</c:v>
                </c:pt>
                <c:pt idx="56">
                  <c:v>621553.22897932958</c:v>
                </c:pt>
                <c:pt idx="57">
                  <c:v>486677.8778983255</c:v>
                </c:pt>
                <c:pt idx="58">
                  <c:v>338793.57069945993</c:v>
                </c:pt>
                <c:pt idx="59">
                  <c:v>176918.32682363884</c:v>
                </c:pt>
                <c:pt idx="60">
                  <c:v>1.4605175238102676E-8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32-44B1-B4AB-1382A452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44864"/>
        <c:axId val="546843232"/>
      </c:lineChart>
      <c:catAx>
        <c:axId val="5468448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3C59B">
                  <a:alpha val="3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bg1"/>
                    </a:solidFill>
                  </a:rPr>
                  <a:t>Years To/After</a:t>
                </a:r>
                <a:r>
                  <a:rPr lang="en-US" sz="1200" baseline="0">
                    <a:solidFill>
                      <a:schemeClr val="bg1"/>
                    </a:solidFill>
                  </a:rPr>
                  <a:t> Financial Freedom</a:t>
                </a:r>
                <a:endParaRPr lang="en-US" sz="120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791159092553769"/>
              <c:y val="0.91007925148467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>
                <a:defRPr sz="12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;[Red]\-0" sourceLinked="0"/>
        <c:majorTickMark val="cross"/>
        <c:minorTickMark val="none"/>
        <c:tickLblPos val="nextTo"/>
        <c:spPr>
          <a:noFill/>
          <a:ln w="15875" cap="rnd" cmpd="sng" algn="ctr">
            <a:solidFill>
              <a:schemeClr val="bg1">
                <a:alpha val="78000"/>
              </a:schemeClr>
            </a:solidFill>
            <a:prstDash val="solid"/>
            <a:round/>
            <a:headEnd type="diamond"/>
            <a:tailEnd w="med" len="lg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cap="none" normalizeH="0" baseline="0">
                <a:solidFill>
                  <a:schemeClr val="bg1"/>
                </a:solidFill>
                <a:effectLst>
                  <a:glow rad="241300">
                    <a:schemeClr val="accent6">
                      <a:lumMod val="50000"/>
                      <a:alpha val="14000"/>
                    </a:schemeClr>
                  </a:glow>
                  <a:outerShdw blurRad="50800" dist="38100" dir="8100000" algn="tr" rotWithShape="0">
                    <a:prstClr val="black"/>
                  </a:outerShdw>
                </a:effectLst>
                <a:latin typeface="+mj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46843232"/>
        <c:crossesAt val="0"/>
        <c:auto val="1"/>
        <c:lblAlgn val="ctr"/>
        <c:lblOffset val="0"/>
        <c:tickLblSkip val="1"/>
        <c:tickMarkSkip val="8"/>
        <c:noMultiLvlLbl val="1"/>
      </c:catAx>
      <c:valAx>
        <c:axId val="546843232"/>
        <c:scaling>
          <c:orientation val="minMax"/>
        </c:scaling>
        <c:delete val="0"/>
        <c:axPos val="r"/>
        <c:majorGridlines>
          <c:spPr>
            <a:ln w="0" cap="flat" cmpd="sng" algn="ctr">
              <a:solidFill>
                <a:srgbClr val="42B3C2"/>
              </a:solidFill>
              <a:prstDash val="solid"/>
              <a:round/>
            </a:ln>
            <a:effectLst/>
          </c:spPr>
        </c:majorGridlines>
        <c:numFmt formatCode="&quot;$&quot;#,##0;[Red]&quot;$&quot;#,##0" sourceLinked="0"/>
        <c:majorTickMark val="cross"/>
        <c:minorTickMark val="none"/>
        <c:tickLblPos val="nextTo"/>
        <c:spPr>
          <a:noFill/>
          <a:ln w="15875">
            <a:solidFill>
              <a:schemeClr val="bg1">
                <a:alpha val="61000"/>
              </a:schemeClr>
            </a:solidFill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50" b="0" i="0" u="none" strike="noStrike" kern="2700" baseline="0">
                <a:solidFill>
                  <a:schemeClr val="bg1"/>
                </a:solidFill>
                <a:effectLst>
                  <a:outerShdw blurRad="495300" dist="38100" algn="l" rotWithShape="0">
                    <a:prstClr val="black"/>
                  </a:outerShdw>
                </a:effectLst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46844864"/>
        <c:crosses val="max"/>
        <c:crossBetween val="midCat"/>
      </c:valAx>
      <c:valAx>
        <c:axId val="546845408"/>
        <c:scaling>
          <c:orientation val="minMax"/>
        </c:scaling>
        <c:delete val="0"/>
        <c:axPos val="l"/>
        <c:majorGridlines>
          <c:spPr>
            <a:ln w="12700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mpd="tri">
            <a:solidFill>
              <a:srgbClr val="85FFF9">
                <a:alpha val="92000"/>
              </a:srgbClr>
            </a:solidFill>
            <a:prstDash val="sysDot"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noFill/>
                <a:latin typeface="Calibri Body"/>
                <a:ea typeface="+mn-ea"/>
                <a:cs typeface="+mn-cs"/>
              </a:defRPr>
            </a:pPr>
            <a:endParaRPr lang="en-US"/>
          </a:p>
        </c:txPr>
        <c:crossAx val="546846496"/>
        <c:crossesAt val="50"/>
        <c:crossBetween val="midCat"/>
      </c:valAx>
      <c:catAx>
        <c:axId val="5468464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15875" cap="flat" cmpd="sng" algn="ctr">
            <a:noFill/>
            <a:round/>
          </a:ln>
          <a:effectLst/>
        </c:spPr>
        <c:txPr>
          <a:bodyPr rot="60000" spcFirstLastPara="1" vertOverflow="ellipsis" wrap="square" anchor="t" anchorCtr="0"/>
          <a:lstStyle/>
          <a:p>
            <a:pPr>
              <a:defRPr sz="3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845408"/>
        <c:crossesAt val="0"/>
        <c:auto val="1"/>
        <c:lblAlgn val="ctr"/>
        <c:lblOffset val="0"/>
        <c:tickMarkSkip val="1"/>
        <c:noMultiLvlLbl val="1"/>
      </c:catAx>
      <c:spPr>
        <a:gradFill>
          <a:gsLst>
            <a:gs pos="100000">
              <a:srgbClr val="29595F">
                <a:lumMod val="34000"/>
                <a:alpha val="76000"/>
              </a:srgbClr>
            </a:gs>
            <a:gs pos="0">
              <a:srgbClr val="0D6F6D">
                <a:lumMod val="56000"/>
                <a:alpha val="58000"/>
              </a:srgbClr>
            </a:gs>
          </a:gsLst>
          <a:lin ang="5400000" scaled="1"/>
        </a:gradFill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8.4364414052429088E-2"/>
          <c:y val="1.4069377077544678E-2"/>
          <c:w val="0.76644037829154077"/>
          <c:h val="7.6111180754824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31000">
          <a:srgbClr val="00698E">
            <a:alpha val="90000"/>
            <a:lumMod val="80000"/>
          </a:srgbClr>
        </a:gs>
        <a:gs pos="100000">
          <a:srgbClr val="146974">
            <a:lumMod val="71000"/>
          </a:srgbClr>
        </a:gs>
        <a:gs pos="73000">
          <a:srgbClr val="146974">
            <a:lumMod val="45000"/>
          </a:srgbClr>
        </a:gs>
        <a:gs pos="0">
          <a:srgbClr val="395E63"/>
        </a:gs>
      </a:gsLst>
      <a:lin ang="5400000" scaled="1"/>
    </a:gradFill>
    <a:ln w="317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408168236411057E-2"/>
          <c:y val="0.11076280070586582"/>
          <c:w val="0.75038938718513348"/>
          <c:h val="0.72729444275309707"/>
        </c:manualLayout>
      </c:layout>
      <c:areaChart>
        <c:grouping val="standard"/>
        <c:varyColors val="0"/>
        <c:ser>
          <c:idx val="4"/>
          <c:order val="0"/>
          <c:tx>
            <c:v>Goal</c:v>
          </c:tx>
          <c:spPr>
            <a:gradFill flip="none" rotWithShape="1">
              <a:gsLst>
                <a:gs pos="70795">
                  <a:srgbClr val="72E20C">
                    <a:alpha val="40000"/>
                  </a:srgbClr>
                </a:gs>
                <a:gs pos="52201">
                  <a:srgbClr val="85E70E">
                    <a:alpha val="19000"/>
                  </a:srgbClr>
                </a:gs>
                <a:gs pos="100000">
                  <a:srgbClr val="53DA08">
                    <a:alpha val="30000"/>
                  </a:srgbClr>
                </a:gs>
                <a:gs pos="40000">
                  <a:srgbClr val="96EB10">
                    <a:alpha val="38000"/>
                  </a:srgbClr>
                </a:gs>
                <a:gs pos="20000">
                  <a:srgbClr val="0EFC4C">
                    <a:alpha val="29804"/>
                  </a:srgbClr>
                </a:gs>
              </a:gsLst>
              <a:path path="circle">
                <a:fillToRect l="100000" t="100000"/>
              </a:path>
              <a:tileRect r="-100000" b="-100000"/>
            </a:gradFill>
            <a:ln w="15875">
              <a:noFill/>
              <a:prstDash val="dash"/>
            </a:ln>
            <a:effectLst>
              <a:innerShdw blurRad="63500" dist="50800" dir="19560000">
                <a:schemeClr val="accent6">
                  <a:lumMod val="50000"/>
                </a:schemeClr>
              </a:innerShdw>
            </a:effectLst>
          </c:spPr>
          <c:val>
            <c:numRef>
              <c:f>[0]!whatuneed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116140.69315383144</c:v>
                </c:pt>
                <c:pt idx="2">
                  <c:v>133411.2348284311</c:v>
                </c:pt>
                <c:pt idx="3">
                  <c:v>151890.71442025271</c:v>
                </c:pt>
                <c:pt idx="4">
                  <c:v>171663.75758350184</c:v>
                </c:pt>
                <c:pt idx="5">
                  <c:v>192820.91376817841</c:v>
                </c:pt>
                <c:pt idx="6">
                  <c:v>215459.07088578233</c:v>
                </c:pt>
                <c:pt idx="7">
                  <c:v>239681.89900161856</c:v>
                </c:pt>
                <c:pt idx="8">
                  <c:v>265600.32508556329</c:v>
                </c:pt>
                <c:pt idx="9">
                  <c:v>293333.04099538422</c:v>
                </c:pt>
                <c:pt idx="10">
                  <c:v>323007.0470188926</c:v>
                </c:pt>
                <c:pt idx="11">
                  <c:v>354758.23346404656</c:v>
                </c:pt>
                <c:pt idx="12">
                  <c:v>388732.00296036131</c:v>
                </c:pt>
                <c:pt idx="13">
                  <c:v>425083.93632141809</c:v>
                </c:pt>
                <c:pt idx="14">
                  <c:v>463980.50501774886</c:v>
                </c:pt>
                <c:pt idx="15">
                  <c:v>505599.83352282277</c:v>
                </c:pt>
                <c:pt idx="16">
                  <c:v>550132.51502325176</c:v>
                </c:pt>
                <c:pt idx="17">
                  <c:v>597782.48422871088</c:v>
                </c:pt>
                <c:pt idx="18">
                  <c:v>648767.95127855206</c:v>
                </c:pt>
                <c:pt idx="19">
                  <c:v>703322.40102188219</c:v>
                </c:pt>
                <c:pt idx="20">
                  <c:v>761695.66224724543</c:v>
                </c:pt>
                <c:pt idx="21">
                  <c:v>824155.0517583841</c:v>
                </c:pt>
                <c:pt idx="22">
                  <c:v>890986.59853530244</c:v>
                </c:pt>
                <c:pt idx="23">
                  <c:v>962496.35358660505</c:v>
                </c:pt>
                <c:pt idx="24">
                  <c:v>1039011.7914914988</c:v>
                </c:pt>
                <c:pt idx="25">
                  <c:v>1120883.3100497352</c:v>
                </c:pt>
                <c:pt idx="26">
                  <c:v>1208485.8349070481</c:v>
                </c:pt>
                <c:pt idx="27">
                  <c:v>1302220.536504373</c:v>
                </c:pt>
                <c:pt idx="28">
                  <c:v>1402516.6672135105</c:v>
                </c:pt>
                <c:pt idx="29">
                  <c:v>1509833.5270722876</c:v>
                </c:pt>
                <c:pt idx="30">
                  <c:v>1624662.5671211793</c:v>
                </c:pt>
                <c:pt idx="31">
                  <c:v>1631790.3175951797</c:v>
                </c:pt>
                <c:pt idx="32">
                  <c:v>1637285.0380178704</c:v>
                </c:pt>
                <c:pt idx="33">
                  <c:v>1640989.7768339701</c:v>
                </c:pt>
                <c:pt idx="34">
                  <c:v>1642735.7430902936</c:v>
                </c:pt>
                <c:pt idx="35">
                  <c:v>1642341.4606221188</c:v>
                </c:pt>
                <c:pt idx="36">
                  <c:v>1639611.8626914818</c:v>
                </c:pt>
                <c:pt idx="37">
                  <c:v>1634337.3229022166</c:v>
                </c:pt>
                <c:pt idx="38">
                  <c:v>1626292.6179241491</c:v>
                </c:pt>
                <c:pt idx="39">
                  <c:v>1615235.8172459926</c:v>
                </c:pt>
                <c:pt idx="40">
                  <c:v>1600907.094841708</c:v>
                </c:pt>
                <c:pt idx="41">
                  <c:v>1583027.4572768935</c:v>
                </c:pt>
                <c:pt idx="42">
                  <c:v>1561297.3823984675</c:v>
                </c:pt>
                <c:pt idx="43">
                  <c:v>1535395.3623407956</c:v>
                </c:pt>
                <c:pt idx="44">
                  <c:v>1504976.344142575</c:v>
                </c:pt>
                <c:pt idx="45">
                  <c:v>1469670.0607992376</c:v>
                </c:pt>
                <c:pt idx="46">
                  <c:v>1429079.2450732002</c:v>
                </c:pt>
                <c:pt idx="47">
                  <c:v>1382777.7178467005</c:v>
                </c:pt>
                <c:pt idx="48">
                  <c:v>1330308.3422267132</c:v>
                </c:pt>
                <c:pt idx="49">
                  <c:v>1271180.8339959418</c:v>
                </c:pt>
                <c:pt idx="50">
                  <c:v>1204869.4183452835</c:v>
                </c:pt>
                <c:pt idx="51">
                  <c:v>1130810.3221184716</c:v>
                </c:pt>
                <c:pt idx="52">
                  <c:v>1048399.0900455633</c:v>
                </c:pt>
                <c:pt idx="53">
                  <c:v>956987.71263512736</c:v>
                </c:pt>
                <c:pt idx="54">
                  <c:v>855881.55253168847</c:v>
                </c:pt>
                <c:pt idx="55">
                  <c:v>744336.05522125086</c:v>
                </c:pt>
                <c:pt idx="56">
                  <c:v>621553.22897932958</c:v>
                </c:pt>
                <c:pt idx="57">
                  <c:v>486677.8778983255</c:v>
                </c:pt>
                <c:pt idx="58">
                  <c:v>338793.57069945993</c:v>
                </c:pt>
                <c:pt idx="59">
                  <c:v>176918.32682363884</c:v>
                </c:pt>
                <c:pt idx="60">
                  <c:v>1.4605175238102676E-8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2-47B3-A2D9-55E074784B10}"/>
            </c:ext>
          </c:extLst>
        </c:ser>
        <c:ser>
          <c:idx val="0"/>
          <c:order val="3"/>
          <c:tx>
            <c:v> Savings</c:v>
          </c:tx>
          <c:spPr>
            <a:gradFill>
              <a:gsLst>
                <a:gs pos="100000">
                  <a:srgbClr val="0E6C6A"/>
                </a:gs>
                <a:gs pos="31000">
                  <a:srgbClr val="087EA8">
                    <a:alpha val="96000"/>
                  </a:srgbClr>
                </a:gs>
                <a:gs pos="54000">
                  <a:srgbClr val="4BC7FF">
                    <a:alpha val="76000"/>
                  </a:srgbClr>
                </a:gs>
                <a:gs pos="0">
                  <a:srgbClr val="006192">
                    <a:alpha val="43922"/>
                  </a:srgbClr>
                </a:gs>
              </a:gsLst>
              <a:lin ang="5400000" scaled="1"/>
            </a:gradFill>
            <a:ln>
              <a:solidFill>
                <a:srgbClr val="6DFFF8"/>
              </a:solidFill>
            </a:ln>
            <a:effectLst/>
          </c:spPr>
          <c:cat>
            <c:strRef>
              <c:f>[0]!years_chart</c:f>
              <c:strCache>
                <c:ptCount val="61"/>
                <c:pt idx="0">
                  <c:v>30</c:v>
                </c:pt>
                <c:pt idx="7">
                  <c:v>23</c:v>
                </c:pt>
                <c:pt idx="15">
                  <c:v>15</c:v>
                </c:pt>
                <c:pt idx="22">
                  <c:v>8</c:v>
                </c:pt>
                <c:pt idx="30">
                  <c:v>0</c:v>
                </c:pt>
                <c:pt idx="38">
                  <c:v>8</c:v>
                </c:pt>
                <c:pt idx="45">
                  <c:v>15</c:v>
                </c:pt>
                <c:pt idx="53">
                  <c:v>23</c:v>
                </c:pt>
                <c:pt idx="60">
                  <c:v>30</c:v>
                </c:pt>
              </c:strCache>
            </c:strRef>
          </c:cat>
          <c:val>
            <c:numRef>
              <c:f>[0]!portfolio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112000</c:v>
                </c:pt>
                <c:pt idx="2">
                  <c:v>124840</c:v>
                </c:pt>
                <c:pt idx="3">
                  <c:v>138578.80000000002</c:v>
                </c:pt>
                <c:pt idx="4">
                  <c:v>153279.31600000002</c:v>
                </c:pt>
                <c:pt idx="5">
                  <c:v>169008.86812000003</c:v>
                </c:pt>
                <c:pt idx="6">
                  <c:v>185839.48888840005</c:v>
                </c:pt>
                <c:pt idx="7">
                  <c:v>203848.25311058806</c:v>
                </c:pt>
                <c:pt idx="8">
                  <c:v>223117.63082832925</c:v>
                </c:pt>
                <c:pt idx="9">
                  <c:v>243735.86498631231</c:v>
                </c:pt>
                <c:pt idx="10">
                  <c:v>265797.37553535419</c:v>
                </c:pt>
                <c:pt idx="11">
                  <c:v>289403.19182282902</c:v>
                </c:pt>
                <c:pt idx="12">
                  <c:v>314661.41525042709</c:v>
                </c:pt>
                <c:pt idx="13">
                  <c:v>341687.714317957</c:v>
                </c:pt>
                <c:pt idx="14">
                  <c:v>370605.85432021401</c:v>
                </c:pt>
                <c:pt idx="15">
                  <c:v>401548.26412262901</c:v>
                </c:pt>
                <c:pt idx="16">
                  <c:v>434656.64261121309</c:v>
                </c:pt>
                <c:pt idx="17">
                  <c:v>470082.60759399802</c:v>
                </c:pt>
                <c:pt idx="18">
                  <c:v>507988.39012557792</c:v>
                </c:pt>
                <c:pt idx="19">
                  <c:v>548547.57743436843</c:v>
                </c:pt>
                <c:pt idx="20">
                  <c:v>591945.90785477427</c:v>
                </c:pt>
                <c:pt idx="21">
                  <c:v>638382.12140460848</c:v>
                </c:pt>
                <c:pt idx="22">
                  <c:v>688068.86990293115</c:v>
                </c:pt>
                <c:pt idx="23">
                  <c:v>741233.69079613639</c:v>
                </c:pt>
                <c:pt idx="24">
                  <c:v>798120.049151866</c:v>
                </c:pt>
                <c:pt idx="25">
                  <c:v>858988.45259249664</c:v>
                </c:pt>
                <c:pt idx="26">
                  <c:v>924117.64427397144</c:v>
                </c:pt>
                <c:pt idx="27">
                  <c:v>993805.87937314948</c:v>
                </c:pt>
                <c:pt idx="28">
                  <c:v>1068372.29092927</c:v>
                </c:pt>
                <c:pt idx="29">
                  <c:v>1148158.3512943189</c:v>
                </c:pt>
                <c:pt idx="30">
                  <c:v>1233529.4358849213</c:v>
                </c:pt>
                <c:pt idx="31">
                  <c:v>1213277.8671723837</c:v>
                </c:pt>
                <c:pt idx="32">
                  <c:v>1189476.7160654787</c:v>
                </c:pt>
                <c:pt idx="33">
                  <c:v>1161834.8723449109</c:v>
                </c:pt>
                <c:pt idx="34">
                  <c:v>1130039.9952870002</c:v>
                </c:pt>
                <c:pt idx="35">
                  <c:v>1093757.0104725948</c:v>
                </c:pt>
                <c:pt idx="36">
                  <c:v>1052626.501031491</c:v>
                </c:pt>
                <c:pt idx="37">
                  <c:v>1006262.9859260261</c:v>
                </c:pt>
                <c:pt idx="38">
                  <c:v>954253.07735962537</c:v>
                </c:pt>
                <c:pt idx="39">
                  <c:v>896153.50884195208</c:v>
                </c:pt>
                <c:pt idx="40">
                  <c:v>831489.02484938479</c:v>
                </c:pt>
                <c:pt idx="41">
                  <c:v>759750.12238510768</c:v>
                </c:pt>
                <c:pt idx="42">
                  <c:v>680390.63406425656</c:v>
                </c:pt>
                <c:pt idx="43">
                  <c:v>592825.14162318956</c:v>
                </c:pt>
                <c:pt idx="44">
                  <c:v>496426.20797473664</c:v>
                </c:pt>
                <c:pt idx="45">
                  <c:v>390521.41509965045</c:v>
                </c:pt>
                <c:pt idx="46">
                  <c:v>274390.19417464186</c:v>
                </c:pt>
                <c:pt idx="47">
                  <c:v>147260.433385243</c:v>
                </c:pt>
                <c:pt idx="48">
                  <c:v>8304.8478529537351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2-47B3-A2D9-55E074784B10}"/>
            </c:ext>
          </c:extLst>
        </c:ser>
        <c:ser>
          <c:idx val="5"/>
          <c:order val="4"/>
          <c:tx>
            <c:strRef>
              <c:f>'Annual Breakdown'!$L$3</c:f>
              <c:strCache>
                <c:ptCount val="1"/>
                <c:pt idx="0">
                  <c:v>Portfolio -</c:v>
                </c:pt>
              </c:strCache>
            </c:strRef>
          </c:tx>
          <c:spPr>
            <a:gradFill>
              <a:gsLst>
                <a:gs pos="100000">
                  <a:srgbClr val="E93605">
                    <a:alpha val="87000"/>
                  </a:srgbClr>
                </a:gs>
                <a:gs pos="0">
                  <a:srgbClr val="FF3701">
                    <a:alpha val="23000"/>
                  </a:srgbClr>
                </a:gs>
              </a:gsLst>
              <a:lin ang="5400000" scaled="1"/>
            </a:gradFill>
            <a:ln w="22225">
              <a:solidFill>
                <a:srgbClr val="FF0000"/>
              </a:solidFill>
            </a:ln>
            <a:effectLst/>
          </c:spPr>
          <c:val>
            <c:numRef>
              <c:f>[0]!portfolio_neg</c:f>
              <c:numCache>
                <c:formatCode>"$"#,##0_);\-"$"#,##0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-133984.02334951487</c:v>
                </c:pt>
                <c:pt idx="50">
                  <c:v>-279118.6719760329</c:v>
                </c:pt>
                <c:pt idx="51">
                  <c:v>-427156.01357508125</c:v>
                </c:pt>
                <c:pt idx="52">
                  <c:v>-578154.1020061106</c:v>
                </c:pt>
                <c:pt idx="53">
                  <c:v>-732172.15220576047</c:v>
                </c:pt>
                <c:pt idx="54">
                  <c:v>-889270.56340940343</c:v>
                </c:pt>
                <c:pt idx="55">
                  <c:v>-1049510.9428371191</c:v>
                </c:pt>
                <c:pt idx="56">
                  <c:v>-1212956.1298533892</c:v>
                </c:pt>
                <c:pt idx="57">
                  <c:v>-1379670.2206099848</c:v>
                </c:pt>
                <c:pt idx="58">
                  <c:v>-1549718.5931817123</c:v>
                </c:pt>
                <c:pt idx="59">
                  <c:v>-1723167.9332048744</c:v>
                </c:pt>
                <c:pt idx="60">
                  <c:v>-1900086.2600284996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2-47B3-A2D9-55E074784B10}"/>
            </c:ext>
          </c:extLst>
        </c:ser>
        <c:ser>
          <c:idx val="1"/>
          <c:order val="8"/>
          <c:tx>
            <c:strRef>
              <c:f>'Annual Breakdown'!$H$3</c:f>
              <c:strCache>
                <c:ptCount val="1"/>
                <c:pt idx="0">
                  <c:v>Income Withdrawal</c:v>
                </c:pt>
              </c:strCache>
            </c:strRef>
          </c:tx>
          <c:spPr>
            <a:gradFill>
              <a:gsLst>
                <a:gs pos="42000">
                  <a:srgbClr val="FFC000">
                    <a:lumMod val="79000"/>
                    <a:lumOff val="21000"/>
                    <a:alpha val="74000"/>
                  </a:srgbClr>
                </a:gs>
                <a:gs pos="100000">
                  <a:srgbClr val="E8CD02">
                    <a:alpha val="82000"/>
                    <a:lumMod val="62000"/>
                  </a:srgbClr>
                </a:gs>
                <a:gs pos="1000">
                  <a:srgbClr val="FFC000">
                    <a:alpha val="88000"/>
                    <a:lumMod val="77000"/>
                  </a:srgbClr>
                </a:gs>
              </a:gsLst>
              <a:lin ang="5400000" scaled="1"/>
            </a:gradFill>
            <a:ln w="9525" cap="sq" cmpd="sng">
              <a:solidFill>
                <a:srgbClr val="FFC000"/>
              </a:solidFill>
              <a:prstDash val="solid"/>
            </a:ln>
            <a:effectLst/>
          </c:spPr>
          <c:cat>
            <c:strRef>
              <c:f>[0]!years_chart</c:f>
              <c:strCache>
                <c:ptCount val="61"/>
                <c:pt idx="0">
                  <c:v>30</c:v>
                </c:pt>
                <c:pt idx="7">
                  <c:v>23</c:v>
                </c:pt>
                <c:pt idx="15">
                  <c:v>15</c:v>
                </c:pt>
                <c:pt idx="22">
                  <c:v>8</c:v>
                </c:pt>
                <c:pt idx="30">
                  <c:v>0</c:v>
                </c:pt>
                <c:pt idx="38">
                  <c:v>8</c:v>
                </c:pt>
                <c:pt idx="45">
                  <c:v>15</c:v>
                </c:pt>
                <c:pt idx="53">
                  <c:v>23</c:v>
                </c:pt>
                <c:pt idx="60">
                  <c:v>30</c:v>
                </c:pt>
              </c:strCache>
            </c:strRef>
          </c:cat>
          <c:val>
            <c:numRef>
              <c:f>[0]!income_withdrawal</c:f>
              <c:numCache>
                <c:formatCode>"$"#,##0_);\("$"#,##0\);"-"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99624.887125684443</c:v>
                </c:pt>
                <c:pt idx="32">
                  <c:v>101617.38486819813</c:v>
                </c:pt>
                <c:pt idx="33">
                  <c:v>103649.7325655621</c:v>
                </c:pt>
                <c:pt idx="34">
                  <c:v>105722.72721687333</c:v>
                </c:pt>
                <c:pt idx="35">
                  <c:v>107837.1817612108</c:v>
                </c:pt>
                <c:pt idx="36">
                  <c:v>109993.92539643502</c:v>
                </c:pt>
                <c:pt idx="37">
                  <c:v>112193.80390436373</c:v>
                </c:pt>
                <c:pt idx="38">
                  <c:v>114437.67998245101</c:v>
                </c:pt>
                <c:pt idx="39">
                  <c:v>116726.43358210003</c:v>
                </c:pt>
                <c:pt idx="40">
                  <c:v>119060.96225374204</c:v>
                </c:pt>
                <c:pt idx="41">
                  <c:v>121442.18149881688</c:v>
                </c:pt>
                <c:pt idx="42">
                  <c:v>123871.02512879322</c:v>
                </c:pt>
                <c:pt idx="43">
                  <c:v>126348.44563136909</c:v>
                </c:pt>
                <c:pt idx="44">
                  <c:v>128875.41454399648</c:v>
                </c:pt>
                <c:pt idx="45">
                  <c:v>131452.9228348764</c:v>
                </c:pt>
                <c:pt idx="46">
                  <c:v>134081.98129157393</c:v>
                </c:pt>
                <c:pt idx="47">
                  <c:v>136763.62091740541</c:v>
                </c:pt>
                <c:pt idx="48">
                  <c:v>139498.89333575353</c:v>
                </c:pt>
                <c:pt idx="49">
                  <c:v>142288.87120246861</c:v>
                </c:pt>
                <c:pt idx="50">
                  <c:v>145134.648626518</c:v>
                </c:pt>
                <c:pt idx="51">
                  <c:v>148037.34159904835</c:v>
                </c:pt>
                <c:pt idx="52">
                  <c:v>150998.08843102932</c:v>
                </c:pt>
                <c:pt idx="53">
                  <c:v>154018.05019964991</c:v>
                </c:pt>
                <c:pt idx="54">
                  <c:v>157098.4112036429</c:v>
                </c:pt>
                <c:pt idx="55">
                  <c:v>160240.37942771576</c:v>
                </c:pt>
                <c:pt idx="56">
                  <c:v>163445.18701627007</c:v>
                </c:pt>
                <c:pt idx="57">
                  <c:v>166714.09075659548</c:v>
                </c:pt>
                <c:pt idx="58">
                  <c:v>170048.37257172741</c:v>
                </c:pt>
                <c:pt idx="59">
                  <c:v>173449.34002316196</c:v>
                </c:pt>
                <c:pt idx="60">
                  <c:v>176918.32682362519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E2-47B3-A2D9-55E07478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15264"/>
        <c:axId val="350116896"/>
      </c:areaChart>
      <c:areaChart>
        <c:grouping val="standard"/>
        <c:varyColors val="0"/>
        <c:ser>
          <c:idx val="2"/>
          <c:order val="2"/>
          <c:tx>
            <c:v>Vertaxis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multiLvlStrRef>
              <c:f>[0]!Horz_labels</c:f>
              <c:multiLvlStrCache>
                <c:ptCount val="61"/>
                <c:lvl>
                  <c:pt idx="0">
                    <c:v>30</c:v>
                  </c:pt>
                  <c:pt idx="7">
                    <c:v>23</c:v>
                  </c:pt>
                  <c:pt idx="15">
                    <c:v>15</c:v>
                  </c:pt>
                  <c:pt idx="22">
                    <c:v>8</c:v>
                  </c:pt>
                  <c:pt idx="30">
                    <c:v>0</c:v>
                  </c:pt>
                  <c:pt idx="38">
                    <c:v>8</c:v>
                  </c:pt>
                  <c:pt idx="45">
                    <c:v>15</c:v>
                  </c:pt>
                  <c:pt idx="53">
                    <c:v>23</c:v>
                  </c:pt>
                  <c:pt idx="60">
                    <c:v>30</c:v>
                  </c:pt>
                </c:lvl>
                <c:lvl>
                  <c:pt idx="0">
                    <c:v>Years Remaining to Save</c:v>
                  </c:pt>
                  <c:pt idx="49">
                    <c:v>Retirement</c:v>
                  </c:pt>
                </c:lvl>
              </c:multiLvlStrCache>
            </c:multiLvlStrRef>
          </c:cat>
          <c:val>
            <c:numRef>
              <c:f>[0]!splitline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E2-47B3-A2D9-55E07478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09824"/>
        <c:axId val="350104928"/>
      </c:areaChart>
      <c:lineChart>
        <c:grouping val="standard"/>
        <c:varyColors val="0"/>
        <c:ser>
          <c:idx val="3"/>
          <c:order val="1"/>
          <c:tx>
            <c:v>Breakpoint</c:v>
          </c:tx>
          <c:spPr>
            <a:ln w="53975" cap="rnd">
              <a:noFill/>
              <a:round/>
            </a:ln>
            <a:effectLst>
              <a:glow rad="25400">
                <a:schemeClr val="bg1">
                  <a:alpha val="68000"/>
                </a:schemeClr>
              </a:glow>
            </a:effectLst>
          </c:spPr>
          <c:marker>
            <c:symbol val="diamond"/>
            <c:size val="13"/>
            <c:spPr>
              <a:noFill/>
              <a:ln w="28575">
                <a:solidFill>
                  <a:srgbClr val="FF0000"/>
                </a:solidFill>
              </a:ln>
              <a:effectLst>
                <a:glow rad="25400">
                  <a:schemeClr val="bg1">
                    <a:alpha val="68000"/>
                  </a:schemeClr>
                </a:glow>
              </a:effectLst>
            </c:spPr>
          </c:marker>
          <c:dPt>
            <c:idx val="37"/>
            <c:marker>
              <c:symbol val="diamond"/>
              <c:size val="13"/>
              <c:spPr>
                <a:noFill/>
                <a:ln w="28575">
                  <a:solidFill>
                    <a:srgbClr val="FF0000"/>
                  </a:solidFill>
                </a:ln>
                <a:effectLst>
                  <a:glow rad="25400">
                    <a:schemeClr val="bg1">
                      <a:alpha val="68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1E2-47B3-A2D9-55E074784B10}"/>
              </c:ext>
            </c:extLst>
          </c:dPt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[0]!chart_label</c:f>
              <c:numCache>
                <c:formatCode>"$"#,##0.00_);\("$"#,##0.00\)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0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E2-47B3-A2D9-55E074784B10}"/>
            </c:ext>
          </c:extLst>
        </c:ser>
        <c:ser>
          <c:idx val="6"/>
          <c:order val="5"/>
          <c:tx>
            <c:v>Savings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6">
                  <a:lumMod val="75000"/>
                </a:schemeClr>
              </a:solidFill>
              <a:ln w="9525">
                <a:gradFill flip="none" rotWithShape="1">
                  <a:gsLst>
                    <a:gs pos="0">
                      <a:srgbClr val="0D92FF"/>
                    </a:gs>
                    <a:gs pos="100000">
                      <a:srgbClr val="3DFAFF"/>
                    </a:gs>
                  </a:gsLst>
                  <a:lin ang="10800000" scaled="1"/>
                  <a:tileRect/>
                </a:gradFill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[0]!portfolio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112000</c:v>
                </c:pt>
                <c:pt idx="2">
                  <c:v>124840</c:v>
                </c:pt>
                <c:pt idx="3">
                  <c:v>138578.80000000002</c:v>
                </c:pt>
                <c:pt idx="4">
                  <c:v>153279.31600000002</c:v>
                </c:pt>
                <c:pt idx="5">
                  <c:v>169008.86812000003</c:v>
                </c:pt>
                <c:pt idx="6">
                  <c:v>185839.48888840005</c:v>
                </c:pt>
                <c:pt idx="7">
                  <c:v>203848.25311058806</c:v>
                </c:pt>
                <c:pt idx="8">
                  <c:v>223117.63082832925</c:v>
                </c:pt>
                <c:pt idx="9">
                  <c:v>243735.86498631231</c:v>
                </c:pt>
                <c:pt idx="10">
                  <c:v>265797.37553535419</c:v>
                </c:pt>
                <c:pt idx="11">
                  <c:v>289403.19182282902</c:v>
                </c:pt>
                <c:pt idx="12">
                  <c:v>314661.41525042709</c:v>
                </c:pt>
                <c:pt idx="13">
                  <c:v>341687.714317957</c:v>
                </c:pt>
                <c:pt idx="14">
                  <c:v>370605.85432021401</c:v>
                </c:pt>
                <c:pt idx="15">
                  <c:v>401548.26412262901</c:v>
                </c:pt>
                <c:pt idx="16">
                  <c:v>434656.64261121309</c:v>
                </c:pt>
                <c:pt idx="17">
                  <c:v>470082.60759399802</c:v>
                </c:pt>
                <c:pt idx="18">
                  <c:v>507988.39012557792</c:v>
                </c:pt>
                <c:pt idx="19">
                  <c:v>548547.57743436843</c:v>
                </c:pt>
                <c:pt idx="20">
                  <c:v>591945.90785477427</c:v>
                </c:pt>
                <c:pt idx="21">
                  <c:v>638382.12140460848</c:v>
                </c:pt>
                <c:pt idx="22">
                  <c:v>688068.86990293115</c:v>
                </c:pt>
                <c:pt idx="23">
                  <c:v>741233.69079613639</c:v>
                </c:pt>
                <c:pt idx="24">
                  <c:v>798120.049151866</c:v>
                </c:pt>
                <c:pt idx="25">
                  <c:v>858988.45259249664</c:v>
                </c:pt>
                <c:pt idx="26">
                  <c:v>924117.64427397144</c:v>
                </c:pt>
                <c:pt idx="27">
                  <c:v>993805.87937314948</c:v>
                </c:pt>
                <c:pt idx="28">
                  <c:v>1068372.29092927</c:v>
                </c:pt>
                <c:pt idx="29">
                  <c:v>1148158.3512943189</c:v>
                </c:pt>
                <c:pt idx="30">
                  <c:v>1233529.4358849213</c:v>
                </c:pt>
                <c:pt idx="31">
                  <c:v>1213277.8671723837</c:v>
                </c:pt>
                <c:pt idx="32">
                  <c:v>1189476.7160654787</c:v>
                </c:pt>
                <c:pt idx="33">
                  <c:v>1161834.8723449109</c:v>
                </c:pt>
                <c:pt idx="34">
                  <c:v>1130039.9952870002</c:v>
                </c:pt>
                <c:pt idx="35">
                  <c:v>1093757.0104725948</c:v>
                </c:pt>
                <c:pt idx="36">
                  <c:v>1052626.501031491</c:v>
                </c:pt>
                <c:pt idx="37">
                  <c:v>1006262.9859260261</c:v>
                </c:pt>
                <c:pt idx="38">
                  <c:v>954253.07735962537</c:v>
                </c:pt>
                <c:pt idx="39">
                  <c:v>896153.50884195208</c:v>
                </c:pt>
                <c:pt idx="40">
                  <c:v>831489.02484938479</c:v>
                </c:pt>
                <c:pt idx="41">
                  <c:v>759750.12238510768</c:v>
                </c:pt>
                <c:pt idx="42">
                  <c:v>680390.63406425656</c:v>
                </c:pt>
                <c:pt idx="43">
                  <c:v>592825.14162318956</c:v>
                </c:pt>
                <c:pt idx="44">
                  <c:v>496426.20797473664</c:v>
                </c:pt>
                <c:pt idx="45">
                  <c:v>390521.41509965045</c:v>
                </c:pt>
                <c:pt idx="46">
                  <c:v>274390.19417464186</c:v>
                </c:pt>
                <c:pt idx="47">
                  <c:v>147260.433385243</c:v>
                </c:pt>
                <c:pt idx="48">
                  <c:v>8304.8478529537351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E2-47B3-A2D9-55E074784B10}"/>
            </c:ext>
          </c:extLst>
        </c:ser>
        <c:ser>
          <c:idx val="7"/>
          <c:order val="6"/>
          <c:tx>
            <c:v>Portfolio- line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860000"/>
              </a:solidFill>
              <a:ln w="9525">
                <a:gradFill flip="none" rotWithShape="1">
                  <a:gsLst>
                    <a:gs pos="0">
                      <a:srgbClr val="FF6600">
                        <a:alpha val="56000"/>
                      </a:srgbClr>
                    </a:gs>
                    <a:gs pos="100000">
                      <a:srgbClr val="FF0000">
                        <a:alpha val="58000"/>
                      </a:srgb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[0]!portfolio_neg</c:f>
              <c:numCache>
                <c:formatCode>"$"#,##0_);\-"$"#,##0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-133984.02334951487</c:v>
                </c:pt>
                <c:pt idx="50">
                  <c:v>-279118.6719760329</c:v>
                </c:pt>
                <c:pt idx="51">
                  <c:v>-427156.01357508125</c:v>
                </c:pt>
                <c:pt idx="52">
                  <c:v>-578154.1020061106</c:v>
                </c:pt>
                <c:pt idx="53">
                  <c:v>-732172.15220576047</c:v>
                </c:pt>
                <c:pt idx="54">
                  <c:v>-889270.56340940343</c:v>
                </c:pt>
                <c:pt idx="55">
                  <c:v>-1049510.9428371191</c:v>
                </c:pt>
                <c:pt idx="56">
                  <c:v>-1212956.1298533892</c:v>
                </c:pt>
                <c:pt idx="57">
                  <c:v>-1379670.2206099848</c:v>
                </c:pt>
                <c:pt idx="58">
                  <c:v>-1549718.5931817123</c:v>
                </c:pt>
                <c:pt idx="59">
                  <c:v>-1723167.9332048744</c:v>
                </c:pt>
                <c:pt idx="60">
                  <c:v>-1900086.2600284996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E2-47B3-A2D9-55E074784B10}"/>
            </c:ext>
          </c:extLst>
        </c:ser>
        <c:ser>
          <c:idx val="8"/>
          <c:order val="7"/>
          <c:tx>
            <c:v>Goal</c:v>
          </c:tx>
          <c:spPr>
            <a:ln w="15875" cap="rnd">
              <a:solidFill>
                <a:srgbClr val="33FF33">
                  <a:alpha val="86000"/>
                </a:srgb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multiLvlStrRef>
              <c:f>[0]!Years</c:f>
              <c:multiLvlStrCache>
                <c:ptCount val="61"/>
                <c:lvl>
                  <c:pt idx="0">
                    <c:v>Years Remaining to Save</c:v>
                  </c:pt>
                  <c:pt idx="30">
                    <c:v>Retirement</c:v>
                  </c:pt>
                </c:lvl>
                <c:lvl>
                  <c:pt idx="0">
                    <c:v>-30</c:v>
                  </c:pt>
                  <c:pt idx="1">
                    <c:v>-29</c:v>
                  </c:pt>
                  <c:pt idx="2">
                    <c:v>-28</c:v>
                  </c:pt>
                  <c:pt idx="3">
                    <c:v>-27</c:v>
                  </c:pt>
                  <c:pt idx="4">
                    <c:v>-26</c:v>
                  </c:pt>
                  <c:pt idx="5">
                    <c:v>-25</c:v>
                  </c:pt>
                  <c:pt idx="6">
                    <c:v>-24</c:v>
                  </c:pt>
                  <c:pt idx="7">
                    <c:v>-23</c:v>
                  </c:pt>
                  <c:pt idx="8">
                    <c:v>-22</c:v>
                  </c:pt>
                  <c:pt idx="9">
                    <c:v>-21</c:v>
                  </c:pt>
                  <c:pt idx="10">
                    <c:v>-20</c:v>
                  </c:pt>
                  <c:pt idx="11">
                    <c:v>-19</c:v>
                  </c:pt>
                  <c:pt idx="12">
                    <c:v>-18</c:v>
                  </c:pt>
                  <c:pt idx="13">
                    <c:v>-17</c:v>
                  </c:pt>
                  <c:pt idx="14">
                    <c:v>-16</c:v>
                  </c:pt>
                  <c:pt idx="15">
                    <c:v>-15</c:v>
                  </c:pt>
                  <c:pt idx="16">
                    <c:v>-14</c:v>
                  </c:pt>
                  <c:pt idx="17">
                    <c:v>-13</c:v>
                  </c:pt>
                  <c:pt idx="18">
                    <c:v>-12</c:v>
                  </c:pt>
                  <c:pt idx="19">
                    <c:v>-11</c:v>
                  </c:pt>
                  <c:pt idx="20">
                    <c:v>-10</c:v>
                  </c:pt>
                  <c:pt idx="21">
                    <c:v>-9</c:v>
                  </c:pt>
                  <c:pt idx="22">
                    <c:v>-8</c:v>
                  </c:pt>
                  <c:pt idx="23">
                    <c:v>-7</c:v>
                  </c:pt>
                  <c:pt idx="24">
                    <c:v>-6</c:v>
                  </c:pt>
                  <c:pt idx="25">
                    <c:v>-5</c:v>
                  </c:pt>
                  <c:pt idx="26">
                    <c:v>-4</c:v>
                  </c:pt>
                  <c:pt idx="27">
                    <c:v>-3</c:v>
                  </c:pt>
                  <c:pt idx="28">
                    <c:v>-2</c:v>
                  </c:pt>
                  <c:pt idx="29">
                    <c:v>-1</c:v>
                  </c:pt>
                  <c:pt idx="30">
                    <c:v>0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</c:lvl>
              </c:multiLvlStrCache>
            </c:multiLvlStrRef>
          </c:cat>
          <c:val>
            <c:numRef>
              <c:f>[0]!whatuneed</c:f>
              <c:numCache>
                <c:formatCode>"$"#,##0.00_);\("$"#,##0.00\)</c:formatCode>
                <c:ptCount val="61"/>
                <c:pt idx="0">
                  <c:v>100000</c:v>
                </c:pt>
                <c:pt idx="1">
                  <c:v>116140.69315383144</c:v>
                </c:pt>
                <c:pt idx="2">
                  <c:v>133411.2348284311</c:v>
                </c:pt>
                <c:pt idx="3">
                  <c:v>151890.71442025271</c:v>
                </c:pt>
                <c:pt idx="4">
                  <c:v>171663.75758350184</c:v>
                </c:pt>
                <c:pt idx="5">
                  <c:v>192820.91376817841</c:v>
                </c:pt>
                <c:pt idx="6">
                  <c:v>215459.07088578233</c:v>
                </c:pt>
                <c:pt idx="7">
                  <c:v>239681.89900161856</c:v>
                </c:pt>
                <c:pt idx="8">
                  <c:v>265600.32508556329</c:v>
                </c:pt>
                <c:pt idx="9">
                  <c:v>293333.04099538422</c:v>
                </c:pt>
                <c:pt idx="10">
                  <c:v>323007.0470188926</c:v>
                </c:pt>
                <c:pt idx="11">
                  <c:v>354758.23346404656</c:v>
                </c:pt>
                <c:pt idx="12">
                  <c:v>388732.00296036131</c:v>
                </c:pt>
                <c:pt idx="13">
                  <c:v>425083.93632141809</c:v>
                </c:pt>
                <c:pt idx="14">
                  <c:v>463980.50501774886</c:v>
                </c:pt>
                <c:pt idx="15">
                  <c:v>505599.83352282277</c:v>
                </c:pt>
                <c:pt idx="16">
                  <c:v>550132.51502325176</c:v>
                </c:pt>
                <c:pt idx="17">
                  <c:v>597782.48422871088</c:v>
                </c:pt>
                <c:pt idx="18">
                  <c:v>648767.95127855206</c:v>
                </c:pt>
                <c:pt idx="19">
                  <c:v>703322.40102188219</c:v>
                </c:pt>
                <c:pt idx="20">
                  <c:v>761695.66224724543</c:v>
                </c:pt>
                <c:pt idx="21">
                  <c:v>824155.0517583841</c:v>
                </c:pt>
                <c:pt idx="22">
                  <c:v>890986.59853530244</c:v>
                </c:pt>
                <c:pt idx="23">
                  <c:v>962496.35358660505</c:v>
                </c:pt>
                <c:pt idx="24">
                  <c:v>1039011.7914914988</c:v>
                </c:pt>
                <c:pt idx="25">
                  <c:v>1120883.3100497352</c:v>
                </c:pt>
                <c:pt idx="26">
                  <c:v>1208485.8349070481</c:v>
                </c:pt>
                <c:pt idx="27">
                  <c:v>1302220.536504373</c:v>
                </c:pt>
                <c:pt idx="28">
                  <c:v>1402516.6672135105</c:v>
                </c:pt>
                <c:pt idx="29">
                  <c:v>1509833.5270722876</c:v>
                </c:pt>
                <c:pt idx="30">
                  <c:v>1624662.5671211793</c:v>
                </c:pt>
                <c:pt idx="31">
                  <c:v>1631790.3175951797</c:v>
                </c:pt>
                <c:pt idx="32">
                  <c:v>1637285.0380178704</c:v>
                </c:pt>
                <c:pt idx="33">
                  <c:v>1640989.7768339701</c:v>
                </c:pt>
                <c:pt idx="34">
                  <c:v>1642735.7430902936</c:v>
                </c:pt>
                <c:pt idx="35">
                  <c:v>1642341.4606221188</c:v>
                </c:pt>
                <c:pt idx="36">
                  <c:v>1639611.8626914818</c:v>
                </c:pt>
                <c:pt idx="37">
                  <c:v>1634337.3229022166</c:v>
                </c:pt>
                <c:pt idx="38">
                  <c:v>1626292.6179241491</c:v>
                </c:pt>
                <c:pt idx="39">
                  <c:v>1615235.8172459926</c:v>
                </c:pt>
                <c:pt idx="40">
                  <c:v>1600907.094841708</c:v>
                </c:pt>
                <c:pt idx="41">
                  <c:v>1583027.4572768935</c:v>
                </c:pt>
                <c:pt idx="42">
                  <c:v>1561297.3823984675</c:v>
                </c:pt>
                <c:pt idx="43">
                  <c:v>1535395.3623407956</c:v>
                </c:pt>
                <c:pt idx="44">
                  <c:v>1504976.344142575</c:v>
                </c:pt>
                <c:pt idx="45">
                  <c:v>1469670.0607992376</c:v>
                </c:pt>
                <c:pt idx="46">
                  <c:v>1429079.2450732002</c:v>
                </c:pt>
                <c:pt idx="47">
                  <c:v>1382777.7178467005</c:v>
                </c:pt>
                <c:pt idx="48">
                  <c:v>1330308.3422267132</c:v>
                </c:pt>
                <c:pt idx="49">
                  <c:v>1271180.8339959418</c:v>
                </c:pt>
                <c:pt idx="50">
                  <c:v>1204869.4183452835</c:v>
                </c:pt>
                <c:pt idx="51">
                  <c:v>1130810.3221184716</c:v>
                </c:pt>
                <c:pt idx="52">
                  <c:v>1048399.0900455633</c:v>
                </c:pt>
                <c:pt idx="53">
                  <c:v>956987.71263512736</c:v>
                </c:pt>
                <c:pt idx="54">
                  <c:v>855881.55253168847</c:v>
                </c:pt>
                <c:pt idx="55">
                  <c:v>744336.05522125086</c:v>
                </c:pt>
                <c:pt idx="56">
                  <c:v>621553.22897932958</c:v>
                </c:pt>
                <c:pt idx="57">
                  <c:v>486677.8778983255</c:v>
                </c:pt>
                <c:pt idx="58">
                  <c:v>338793.57069945993</c:v>
                </c:pt>
                <c:pt idx="59">
                  <c:v>176918.32682363884</c:v>
                </c:pt>
                <c:pt idx="60">
                  <c:v>1.4605175238102676E-8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E2-47B3-A2D9-55E07478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15264"/>
        <c:axId val="350116896"/>
      </c:lineChart>
      <c:catAx>
        <c:axId val="3501152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3C59B">
                  <a:alpha val="3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bg1"/>
                    </a:solidFill>
                  </a:rPr>
                  <a:t>Years To/After</a:t>
                </a:r>
                <a:r>
                  <a:rPr lang="en-US" sz="1200" baseline="0">
                    <a:solidFill>
                      <a:schemeClr val="bg1"/>
                    </a:solidFill>
                  </a:rPr>
                  <a:t> Financial Freedom</a:t>
                </a:r>
                <a:endParaRPr lang="en-US" sz="120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791159092553769"/>
              <c:y val="0.91007925148467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>
                <a:defRPr sz="12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;[Red]\-0" sourceLinked="0"/>
        <c:majorTickMark val="cross"/>
        <c:minorTickMark val="none"/>
        <c:tickLblPos val="nextTo"/>
        <c:spPr>
          <a:noFill/>
          <a:ln w="15875" cap="rnd" cmpd="sng" algn="ctr">
            <a:solidFill>
              <a:schemeClr val="bg1">
                <a:alpha val="78000"/>
              </a:schemeClr>
            </a:solidFill>
            <a:prstDash val="solid"/>
            <a:round/>
            <a:headEnd type="diamond"/>
            <a:tailEnd w="med" len="lg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cap="none" normalizeH="0" baseline="0">
                <a:solidFill>
                  <a:schemeClr val="bg1"/>
                </a:solidFill>
                <a:effectLst>
                  <a:glow rad="241300">
                    <a:schemeClr val="accent6">
                      <a:lumMod val="50000"/>
                      <a:alpha val="14000"/>
                    </a:schemeClr>
                  </a:glow>
                  <a:outerShdw blurRad="50800" dist="38100" dir="8100000" algn="tr" rotWithShape="0">
                    <a:prstClr val="black"/>
                  </a:outerShdw>
                </a:effectLst>
                <a:latin typeface="+mj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350116896"/>
        <c:crossesAt val="0"/>
        <c:auto val="1"/>
        <c:lblAlgn val="ctr"/>
        <c:lblOffset val="0"/>
        <c:tickLblSkip val="1"/>
        <c:tickMarkSkip val="8"/>
        <c:noMultiLvlLbl val="1"/>
      </c:catAx>
      <c:valAx>
        <c:axId val="350116896"/>
        <c:scaling>
          <c:orientation val="minMax"/>
        </c:scaling>
        <c:delete val="0"/>
        <c:axPos val="r"/>
        <c:majorGridlines>
          <c:spPr>
            <a:ln w="0" cap="flat" cmpd="sng" algn="ctr">
              <a:solidFill>
                <a:srgbClr val="42B3C2"/>
              </a:solidFill>
              <a:prstDash val="solid"/>
              <a:round/>
            </a:ln>
            <a:effectLst/>
          </c:spPr>
        </c:majorGridlines>
        <c:numFmt formatCode="&quot;$&quot;#,##0;[Red]&quot;$&quot;#,##0" sourceLinked="0"/>
        <c:majorTickMark val="cross"/>
        <c:minorTickMark val="none"/>
        <c:tickLblPos val="nextTo"/>
        <c:spPr>
          <a:noFill/>
          <a:ln w="15875">
            <a:solidFill>
              <a:schemeClr val="bg1">
                <a:alpha val="61000"/>
              </a:schemeClr>
            </a:solidFill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50" b="0" i="0" u="none" strike="noStrike" kern="2700" baseline="0">
                <a:solidFill>
                  <a:schemeClr val="bg1"/>
                </a:solidFill>
                <a:effectLst>
                  <a:outerShdw blurRad="495300" dist="38100" algn="l" rotWithShape="0">
                    <a:prstClr val="black"/>
                  </a:outerShdw>
                </a:effectLst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350115264"/>
        <c:crosses val="max"/>
        <c:crossBetween val="midCat"/>
      </c:valAx>
      <c:valAx>
        <c:axId val="350104928"/>
        <c:scaling>
          <c:orientation val="minMax"/>
        </c:scaling>
        <c:delete val="0"/>
        <c:axPos val="l"/>
        <c:majorGridlines>
          <c:spPr>
            <a:ln w="12700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mpd="tri">
            <a:solidFill>
              <a:srgbClr val="85FFF9">
                <a:alpha val="92000"/>
              </a:srgbClr>
            </a:solidFill>
            <a:prstDash val="sysDot"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noFill/>
                <a:latin typeface="Calibri Body"/>
                <a:ea typeface="+mn-ea"/>
                <a:cs typeface="+mn-cs"/>
              </a:defRPr>
            </a:pPr>
            <a:endParaRPr lang="en-US"/>
          </a:p>
        </c:txPr>
        <c:crossAx val="350109824"/>
        <c:crossesAt val="50"/>
        <c:crossBetween val="midCat"/>
      </c:valAx>
      <c:catAx>
        <c:axId val="3501098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15875" cap="flat" cmpd="sng" algn="ctr">
            <a:noFill/>
            <a:round/>
          </a:ln>
          <a:effectLst/>
        </c:spPr>
        <c:txPr>
          <a:bodyPr rot="60000" spcFirstLastPara="1" vertOverflow="ellipsis" wrap="square" anchor="t" anchorCtr="0"/>
          <a:lstStyle/>
          <a:p>
            <a:pPr>
              <a:defRPr sz="3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04928"/>
        <c:crossesAt val="0"/>
        <c:auto val="1"/>
        <c:lblAlgn val="ctr"/>
        <c:lblOffset val="0"/>
        <c:tickMarkSkip val="1"/>
        <c:noMultiLvlLbl val="1"/>
      </c:catAx>
      <c:spPr>
        <a:gradFill>
          <a:gsLst>
            <a:gs pos="100000">
              <a:srgbClr val="29595F">
                <a:lumMod val="34000"/>
                <a:alpha val="76000"/>
              </a:srgbClr>
            </a:gs>
            <a:gs pos="0">
              <a:srgbClr val="0D6F6D">
                <a:lumMod val="56000"/>
                <a:alpha val="58000"/>
              </a:srgbClr>
            </a:gs>
          </a:gsLst>
          <a:lin ang="5400000" scaled="1"/>
        </a:gradFill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8.4364414052429088E-2"/>
          <c:y val="1.4069377077544678E-2"/>
          <c:w val="0.76644037829154077"/>
          <c:h val="7.6111180754824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31000">
          <a:srgbClr val="00698E">
            <a:alpha val="90000"/>
            <a:lumMod val="80000"/>
          </a:srgbClr>
        </a:gs>
        <a:gs pos="100000">
          <a:srgbClr val="146974">
            <a:lumMod val="71000"/>
          </a:srgbClr>
        </a:gs>
        <a:gs pos="73000">
          <a:srgbClr val="146974">
            <a:lumMod val="45000"/>
          </a:srgbClr>
        </a:gs>
        <a:gs pos="0">
          <a:srgbClr val="395E63"/>
        </a:gs>
      </a:gsLst>
      <a:lin ang="5400000" scaled="1"/>
    </a:gradFill>
    <a:ln w="317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Annual Breakdown'!A1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Financial Freedom Calculator'!A1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19049</xdr:colOff>
      <xdr:row>1</xdr:row>
      <xdr:rowOff>584</xdr:rowOff>
    </xdr:to>
    <xdr:sp macro="" textlink="">
      <xdr:nvSpPr>
        <xdr:cNvPr id="20" name="Header">
          <a:extLst>
            <a:ext uri="{FF2B5EF4-FFF2-40B4-BE49-F238E27FC236}">
              <a16:creationId xmlns:a16="http://schemas.microsoft.com/office/drawing/2014/main" id="{CDEC47CA-5F66-46A4-A316-5702DB7D543C}"/>
            </a:ext>
          </a:extLst>
        </xdr:cNvPr>
        <xdr:cNvSpPr/>
      </xdr:nvSpPr>
      <xdr:spPr>
        <a:xfrm>
          <a:off x="0" y="0"/>
          <a:ext cx="12239624" cy="638759"/>
        </a:xfrm>
        <a:prstGeom prst="roundRect">
          <a:avLst>
            <a:gd name="adj" fmla="val 16667"/>
          </a:avLst>
        </a:prstGeom>
        <a:gradFill>
          <a:gsLst>
            <a:gs pos="0">
              <a:schemeClr val="accent5">
                <a:lumMod val="75000"/>
              </a:schemeClr>
            </a:gs>
            <a:gs pos="50000">
              <a:schemeClr val="accent6">
                <a:lumMod val="75000"/>
              </a:schemeClr>
            </a:gs>
            <a:gs pos="100000">
              <a:schemeClr val="accent5">
                <a:lumMod val="50000"/>
              </a:schemeClr>
            </a:gs>
          </a:gsLst>
          <a:lin ang="5400000" scaled="0"/>
        </a:gradFill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>
            <a:spcBef>
              <a:spcPts val="0"/>
            </a:spcBef>
            <a:buSzPct val="25000"/>
            <a:buNone/>
          </a:pPr>
          <a:r>
            <a:rPr lang="en-US" sz="2400" b="1" i="0" u="none" strike="noStrike">
              <a:gradFill>
                <a:gsLst>
                  <a:gs pos="12000">
                    <a:srgbClr val="D3FDED"/>
                  </a:gs>
                  <a:gs pos="100000">
                    <a:schemeClr val="accent3">
                      <a:lumMod val="5000"/>
                      <a:lumOff val="95000"/>
                    </a:schemeClr>
                  </a:gs>
                </a:gsLst>
                <a:lin ang="5400000" scaled="1"/>
              </a:gradFill>
              <a:effectLst>
                <a:reflection blurRad="76200" stA="26000" endPos="58000" dir="5400000" sy="-100000" algn="bl" rotWithShape="0"/>
              </a:effectLst>
              <a:latin typeface="Roboto"/>
              <a:ea typeface="Arial"/>
              <a:cs typeface="Arial"/>
              <a:sym typeface="Arial"/>
            </a:rPr>
            <a:t>Financial Freedom Calculator</a:t>
          </a:r>
        </a:p>
      </xdr:txBody>
    </xdr:sp>
    <xdr:clientData fLocksWithSheet="0"/>
  </xdr:twoCellAnchor>
  <xdr:twoCellAnchor editAs="absolute">
    <xdr:from>
      <xdr:col>0</xdr:col>
      <xdr:colOff>0</xdr:colOff>
      <xdr:row>0</xdr:row>
      <xdr:rowOff>0</xdr:rowOff>
    </xdr:from>
    <xdr:to>
      <xdr:col>1</xdr:col>
      <xdr:colOff>2721</xdr:colOff>
      <xdr:row>42</xdr:row>
      <xdr:rowOff>454478</xdr:rowOff>
    </xdr:to>
    <xdr:grpSp>
      <xdr:nvGrpSpPr>
        <xdr:cNvPr id="3" name="Dashboard">
          <a:extLst>
            <a:ext uri="{FF2B5EF4-FFF2-40B4-BE49-F238E27FC236}">
              <a16:creationId xmlns:a16="http://schemas.microsoft.com/office/drawing/2014/main" id="{80DD0C93-F6BF-4B4C-AAFC-BFA21C26E336}"/>
            </a:ext>
          </a:extLst>
        </xdr:cNvPr>
        <xdr:cNvGrpSpPr/>
      </xdr:nvGrpSpPr>
      <xdr:grpSpPr>
        <a:xfrm>
          <a:off x="0" y="0"/>
          <a:ext cx="1955346" cy="8665028"/>
          <a:chOff x="0" y="0"/>
          <a:chExt cx="1955346" cy="8667750"/>
        </a:xfrm>
      </xdr:grpSpPr>
      <xdr:sp macro="" textlink="">
        <xdr:nvSpPr>
          <xdr:cNvPr id="22" name="BG_BG">
            <a:extLst>
              <a:ext uri="{FF2B5EF4-FFF2-40B4-BE49-F238E27FC236}">
                <a16:creationId xmlns:a16="http://schemas.microsoft.com/office/drawing/2014/main" id="{589C2ED6-D0C7-4944-BF46-9CB7B3E3F0D2}"/>
              </a:ext>
            </a:extLst>
          </xdr:cNvPr>
          <xdr:cNvSpPr/>
        </xdr:nvSpPr>
        <xdr:spPr>
          <a:xfrm>
            <a:off x="15356" y="7557"/>
            <a:ext cx="1889644" cy="8652897"/>
          </a:xfrm>
          <a:prstGeom prst="rect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" name="Dashboard_Bg">
            <a:extLst>
              <a:ext uri="{FF2B5EF4-FFF2-40B4-BE49-F238E27FC236}">
                <a16:creationId xmlns:a16="http://schemas.microsoft.com/office/drawing/2014/main" id="{8DC639F1-A2C0-40A8-90DB-73BC9C7AC2C8}"/>
              </a:ext>
            </a:extLst>
          </xdr:cNvPr>
          <xdr:cNvSpPr>
            <a:spLocks noChangeAspect="1"/>
          </xdr:cNvSpPr>
        </xdr:nvSpPr>
        <xdr:spPr>
          <a:xfrm>
            <a:off x="0" y="0"/>
            <a:ext cx="1888577" cy="8667750"/>
          </a:xfrm>
          <a:prstGeom prst="rect">
            <a:avLst/>
          </a:prstGeom>
          <a:gradFill>
            <a:gsLst>
              <a:gs pos="0">
                <a:schemeClr val="bg1"/>
              </a:gs>
              <a:gs pos="5000">
                <a:srgbClr val="D9EBEB"/>
              </a:gs>
              <a:gs pos="11000">
                <a:schemeClr val="accent5">
                  <a:lumMod val="75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f</a:t>
            </a:r>
          </a:p>
        </xdr:txBody>
      </xdr:sp>
      <xdr:sp macro="" textlink="">
        <xdr:nvSpPr>
          <xdr:cNvPr id="14" name="FFC">
            <a:extLst>
              <a:ext uri="{FF2B5EF4-FFF2-40B4-BE49-F238E27FC236}">
                <a16:creationId xmlns:a16="http://schemas.microsoft.com/office/drawing/2014/main" id="{DD2794AF-A803-4E6E-9DCF-E6EFC1F36992}"/>
              </a:ext>
            </a:extLst>
          </xdr:cNvPr>
          <xdr:cNvSpPr>
            <a:spLocks/>
          </xdr:cNvSpPr>
        </xdr:nvSpPr>
        <xdr:spPr>
          <a:xfrm>
            <a:off x="1" y="2105025"/>
            <a:ext cx="1896716" cy="282931"/>
          </a:xfrm>
          <a:prstGeom prst="roundRect">
            <a:avLst/>
          </a:prstGeom>
          <a:gradFill>
            <a:gsLst>
              <a:gs pos="100000">
                <a:srgbClr val="7EAA2D"/>
              </a:gs>
              <a:gs pos="0">
                <a:srgbClr val="588408"/>
              </a:gs>
              <a:gs pos="50000">
                <a:srgbClr val="4F9B31"/>
              </a:gs>
              <a:gs pos="84000">
                <a:srgbClr val="9FCB4D"/>
              </a:gs>
              <a:gs pos="7000">
                <a:srgbClr val="A7E13F"/>
              </a:gs>
            </a:gsLst>
            <a:lin ang="5400000" scaled="1"/>
          </a:gradFill>
          <a:ln w="12700"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wrap="none" rtlCol="0" anchor="ctr">
            <a:scene3d>
              <a:camera prst="orthographicFront"/>
              <a:lightRig rig="threePt" dir="t"/>
            </a:scene3d>
            <a:sp3d extrusionH="57150">
              <a:bevelT w="69850" h="38100" prst="cross"/>
              <a:bevelB w="57150" h="38100" prst="hardEdge"/>
            </a:sp3d>
          </a:bodyPr>
          <a:lstStyle/>
          <a:p>
            <a:pPr algn="ctr"/>
            <a:r>
              <a:rPr lang="en-US" sz="1100" b="1" i="1">
                <a:gradFill>
                  <a:gsLst>
                    <a:gs pos="64000">
                      <a:schemeClr val="bg1"/>
                    </a:gs>
                    <a:gs pos="0">
                      <a:srgbClr val="FFFF00"/>
                    </a:gs>
                  </a:gsLst>
                  <a:lin ang="5400000" scaled="1"/>
                </a:gradFill>
                <a:effectLst>
                  <a:glow rad="88900">
                    <a:schemeClr val="accent4">
                      <a:lumMod val="75000"/>
                      <a:alpha val="29000"/>
                    </a:schemeClr>
                  </a:glow>
                  <a:reflection blurRad="6350" stA="44000" endPos="53000" dir="5400000" sy="-100000" algn="bl" rotWithShape="0"/>
                </a:effectLst>
              </a:rPr>
              <a:t>Financial</a:t>
            </a:r>
            <a:r>
              <a:rPr lang="en-US" sz="1100" b="1" i="1" baseline="0">
                <a:gradFill>
                  <a:gsLst>
                    <a:gs pos="64000">
                      <a:schemeClr val="bg1"/>
                    </a:gs>
                    <a:gs pos="0">
                      <a:srgbClr val="FFFF00"/>
                    </a:gs>
                  </a:gsLst>
                  <a:lin ang="5400000" scaled="1"/>
                </a:gradFill>
                <a:effectLst>
                  <a:glow rad="88900">
                    <a:schemeClr val="accent4">
                      <a:lumMod val="75000"/>
                      <a:alpha val="29000"/>
                    </a:schemeClr>
                  </a:glow>
                  <a:reflection blurRad="6350" stA="44000" endPos="53000" dir="5400000" sy="-100000" algn="bl" rotWithShape="0"/>
                </a:effectLst>
              </a:rPr>
              <a:t> Freedom Calculator</a:t>
            </a:r>
            <a:endParaRPr lang="en-US" sz="1100" b="1">
              <a:gradFill>
                <a:gsLst>
                  <a:gs pos="64000">
                    <a:schemeClr val="bg1"/>
                  </a:gs>
                  <a:gs pos="0">
                    <a:srgbClr val="FFFF00"/>
                  </a:gs>
                </a:gsLst>
                <a:lin ang="5400000" scaled="1"/>
              </a:gradFill>
              <a:effectLst>
                <a:glow rad="88900">
                  <a:schemeClr val="accent4">
                    <a:lumMod val="75000"/>
                    <a:alpha val="29000"/>
                  </a:schemeClr>
                </a:glow>
                <a:reflection blurRad="6350" stA="44000" endPos="53000" dir="5400000" sy="-100000" algn="bl" rotWithShape="0"/>
              </a:effectLst>
            </a:endParaRPr>
          </a:p>
        </xdr:txBody>
      </xdr:sp>
      <xdr:sp macro="" textlink="">
        <xdr:nvSpPr>
          <xdr:cNvPr id="15" name="Annual Breakdown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A830207-987F-48C0-96B6-5A742CF7C36B}"/>
              </a:ext>
            </a:extLst>
          </xdr:cNvPr>
          <xdr:cNvSpPr>
            <a:spLocks/>
          </xdr:cNvSpPr>
        </xdr:nvSpPr>
        <xdr:spPr>
          <a:xfrm>
            <a:off x="0" y="2414794"/>
            <a:ext cx="1888435" cy="269282"/>
          </a:xfrm>
          <a:prstGeom prst="roundRect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lang="en-US" sz="1200">
                <a:gradFill>
                  <a:gsLst>
                    <a:gs pos="0">
                      <a:srgbClr val="A9C2C3"/>
                    </a:gs>
                    <a:gs pos="63000">
                      <a:srgbClr val="94B8BC"/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400000" scaled="1"/>
                </a:gradFill>
              </a:rPr>
              <a:t>Annual</a:t>
            </a:r>
            <a:r>
              <a:rPr lang="en-US" sz="1200" baseline="0">
                <a:gradFill>
                  <a:gsLst>
                    <a:gs pos="0">
                      <a:srgbClr val="A9C2C3"/>
                    </a:gs>
                    <a:gs pos="63000">
                      <a:srgbClr val="94B8BC"/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400000" scaled="1"/>
                </a:gradFill>
              </a:rPr>
              <a:t> Breakdown</a:t>
            </a:r>
            <a:endParaRPr lang="en-US" sz="1200">
              <a:gradFill>
                <a:gsLst>
                  <a:gs pos="0">
                    <a:srgbClr val="A9C2C3"/>
                  </a:gs>
                  <a:gs pos="63000">
                    <a:srgbClr val="94B8BC"/>
                  </a:gs>
                  <a:gs pos="100000">
                    <a:schemeClr val="accent5">
                      <a:lumMod val="75000"/>
                    </a:schemeClr>
                  </a:gs>
                </a:gsLst>
                <a:lin ang="5400000" scaled="1"/>
              </a:gradFill>
            </a:endParaRPr>
          </a:p>
        </xdr:txBody>
      </xdr:sp>
      <xdr:grpSp>
        <xdr:nvGrpSpPr>
          <xdr:cNvPr id="27" name="Logo">
            <a:extLst>
              <a:ext uri="{FF2B5EF4-FFF2-40B4-BE49-F238E27FC236}">
                <a16:creationId xmlns:a16="http://schemas.microsoft.com/office/drawing/2014/main" id="{5EADB10C-FD2D-45EC-B555-BD6B9635B6FC}"/>
              </a:ext>
            </a:extLst>
          </xdr:cNvPr>
          <xdr:cNvGrpSpPr/>
        </xdr:nvGrpSpPr>
        <xdr:grpSpPr>
          <a:xfrm>
            <a:off x="1" y="60748"/>
            <a:ext cx="1955345" cy="1594089"/>
            <a:chOff x="0" y="89589"/>
            <a:chExt cx="2857501" cy="2350925"/>
          </a:xfrm>
        </xdr:grpSpPr>
        <xdr:sp macro="" textlink="">
          <xdr:nvSpPr>
            <xdr:cNvPr id="28" name="Enriched">
              <a:extLst>
                <a:ext uri="{FF2B5EF4-FFF2-40B4-BE49-F238E27FC236}">
                  <a16:creationId xmlns:a16="http://schemas.microsoft.com/office/drawing/2014/main" id="{C9D057BE-1FE9-493C-A46A-1B8112DE378A}"/>
                </a:ext>
              </a:extLst>
            </xdr:cNvPr>
            <xdr:cNvSpPr/>
          </xdr:nvSpPr>
          <xdr:spPr>
            <a:xfrm>
              <a:off x="0" y="907678"/>
              <a:ext cx="2811790" cy="96813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3600" b="0">
                  <a:ln w="9525" cmpd="sng">
                    <a:solidFill>
                      <a:srgbClr val="FFBF8F"/>
                    </a:solidFill>
                  </a:ln>
                  <a:gradFill>
                    <a:gsLst>
                      <a:gs pos="100000">
                        <a:srgbClr val="9F319F">
                          <a:alpha val="0"/>
                        </a:srgbClr>
                      </a:gs>
                      <a:gs pos="0">
                        <a:srgbClr val="EEF0D4"/>
                      </a:gs>
                      <a:gs pos="61000">
                        <a:schemeClr val="accent1">
                          <a:lumMod val="5000"/>
                          <a:lumOff val="95000"/>
                        </a:schemeClr>
                      </a:gs>
                    </a:gsLst>
                    <a:lin ang="5400000" scaled="1"/>
                  </a:gradFill>
                  <a:latin typeface="+mn-lt"/>
                </a:rPr>
                <a:t>Enriched</a:t>
              </a:r>
              <a:endParaRPr lang="en-US" sz="4800" b="0">
                <a:ln w="9525" cmpd="sng">
                  <a:solidFill>
                    <a:srgbClr val="FFBF8F"/>
                  </a:solidFill>
                </a:ln>
                <a:gradFill>
                  <a:gsLst>
                    <a:gs pos="100000">
                      <a:srgbClr val="9F319F">
                        <a:alpha val="0"/>
                      </a:srgbClr>
                    </a:gs>
                    <a:gs pos="0">
                      <a:srgbClr val="EEF0D4"/>
                    </a:gs>
                    <a:gs pos="61000">
                      <a:schemeClr val="accent1">
                        <a:lumMod val="5000"/>
                        <a:lumOff val="95000"/>
                      </a:schemeClr>
                    </a:gs>
                  </a:gsLst>
                  <a:lin ang="5400000" scaled="1"/>
                </a:gradFill>
                <a:latin typeface="+mn-lt"/>
              </a:endParaRPr>
            </a:p>
          </xdr:txBody>
        </xdr:sp>
        <xdr:sp macro="" textlink="">
          <xdr:nvSpPr>
            <xdr:cNvPr id="29" name="Academy">
              <a:extLst>
                <a:ext uri="{FF2B5EF4-FFF2-40B4-BE49-F238E27FC236}">
                  <a16:creationId xmlns:a16="http://schemas.microsoft.com/office/drawing/2014/main" id="{5141B74E-EDA8-4B5E-BD22-A452A1D61EAE}"/>
                </a:ext>
              </a:extLst>
            </xdr:cNvPr>
            <xdr:cNvSpPr>
              <a:spLocks noChangeAspect="1"/>
            </xdr:cNvSpPr>
          </xdr:nvSpPr>
          <xdr:spPr>
            <a:xfrm>
              <a:off x="85165" y="1629852"/>
              <a:ext cx="2682252" cy="4917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2400" b="0">
                  <a:ln w="9525" cmpd="sng">
                    <a:solidFill>
                      <a:srgbClr val="FFD7B9"/>
                    </a:solidFill>
                  </a:ln>
                  <a:gradFill>
                    <a:gsLst>
                      <a:gs pos="100000">
                        <a:srgbClr val="9F319F">
                          <a:alpha val="0"/>
                        </a:srgbClr>
                      </a:gs>
                      <a:gs pos="0">
                        <a:srgbClr val="EEF0D4"/>
                      </a:gs>
                      <a:gs pos="61000">
                        <a:schemeClr val="accent1">
                          <a:lumMod val="5000"/>
                          <a:lumOff val="95000"/>
                        </a:schemeClr>
                      </a:gs>
                    </a:gsLst>
                    <a:lin ang="5400000" scaled="1"/>
                  </a:gradFill>
                  <a:latin typeface="+mn-lt"/>
                </a:rPr>
                <a:t>ACADEMY</a:t>
              </a:r>
              <a:endParaRPr lang="en-US" sz="2800" b="0">
                <a:ln w="9525" cmpd="sng">
                  <a:solidFill>
                    <a:srgbClr val="FFD7B9"/>
                  </a:solidFill>
                </a:ln>
                <a:gradFill>
                  <a:gsLst>
                    <a:gs pos="100000">
                      <a:srgbClr val="9F319F">
                        <a:alpha val="0"/>
                      </a:srgbClr>
                    </a:gs>
                    <a:gs pos="0">
                      <a:srgbClr val="EEF0D4"/>
                    </a:gs>
                    <a:gs pos="61000">
                      <a:schemeClr val="accent1">
                        <a:lumMod val="5000"/>
                        <a:lumOff val="95000"/>
                      </a:schemeClr>
                    </a:gs>
                  </a:gsLst>
                  <a:lin ang="5400000" scaled="1"/>
                </a:gradFill>
                <a:latin typeface="+mn-lt"/>
              </a:endParaRPr>
            </a:p>
          </xdr:txBody>
        </xdr:sp>
        <xdr:pic>
          <xdr:nvPicPr>
            <xdr:cNvPr id="30" name="Tree">
              <a:extLst>
                <a:ext uri="{FF2B5EF4-FFF2-40B4-BE49-F238E27FC236}">
                  <a16:creationId xmlns:a16="http://schemas.microsoft.com/office/drawing/2014/main" id="{08EC0278-CFAD-49DE-AC6A-2A5245758095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13072"/>
            <a:stretch/>
          </xdr:blipFill>
          <xdr:spPr>
            <a:xfrm>
              <a:off x="857570" y="89589"/>
              <a:ext cx="1161910" cy="1584515"/>
            </a:xfrm>
            <a:prstGeom prst="rect">
              <a:avLst/>
            </a:prstGeom>
          </xdr:spPr>
        </xdr:pic>
        <xdr:pic>
          <xdr:nvPicPr>
            <xdr:cNvPr id="31" name="Seaparator">
              <a:extLst>
                <a:ext uri="{FF2B5EF4-FFF2-40B4-BE49-F238E27FC236}">
                  <a16:creationId xmlns:a16="http://schemas.microsoft.com/office/drawing/2014/main" id="{F233800B-35B6-44F4-BBEF-2DF121823F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9648" y="2085438"/>
              <a:ext cx="2767853" cy="355076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2264709</xdr:colOff>
      <xdr:row>27</xdr:row>
      <xdr:rowOff>67235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481A38D-7A46-49E8-9125-B23127986AE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2802</xdr:colOff>
      <xdr:row>1</xdr:row>
      <xdr:rowOff>584</xdr:rowOff>
    </xdr:to>
    <xdr:sp macro="" textlink="">
      <xdr:nvSpPr>
        <xdr:cNvPr id="22" name="Header">
          <a:extLst>
            <a:ext uri="{FF2B5EF4-FFF2-40B4-BE49-F238E27FC236}">
              <a16:creationId xmlns:a16="http://schemas.microsoft.com/office/drawing/2014/main" id="{375FE93F-2F83-4AC5-8313-B6B842DECD9D}"/>
            </a:ext>
          </a:extLst>
        </xdr:cNvPr>
        <xdr:cNvSpPr/>
      </xdr:nvSpPr>
      <xdr:spPr>
        <a:xfrm>
          <a:off x="0" y="0"/>
          <a:ext cx="13709277" cy="638759"/>
        </a:xfrm>
        <a:prstGeom prst="roundRect">
          <a:avLst>
            <a:gd name="adj" fmla="val 16667"/>
          </a:avLst>
        </a:prstGeom>
        <a:gradFill>
          <a:gsLst>
            <a:gs pos="0">
              <a:schemeClr val="accent5">
                <a:lumMod val="75000"/>
              </a:schemeClr>
            </a:gs>
            <a:gs pos="50000">
              <a:schemeClr val="accent6">
                <a:lumMod val="75000"/>
              </a:schemeClr>
            </a:gs>
            <a:gs pos="100000">
              <a:schemeClr val="accent5">
                <a:lumMod val="50000"/>
              </a:schemeClr>
            </a:gs>
          </a:gsLst>
          <a:lin ang="5400000" scaled="0"/>
        </a:gradFill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>
            <a:spcBef>
              <a:spcPts val="0"/>
            </a:spcBef>
            <a:buSzPct val="25000"/>
            <a:buNone/>
          </a:pPr>
          <a:r>
            <a:rPr lang="en-US" sz="2400" b="1" i="0" u="none" strike="noStrike">
              <a:gradFill>
                <a:gsLst>
                  <a:gs pos="12000">
                    <a:srgbClr val="D3FDED"/>
                  </a:gs>
                  <a:gs pos="100000">
                    <a:schemeClr val="accent3">
                      <a:lumMod val="5000"/>
                      <a:lumOff val="95000"/>
                    </a:schemeClr>
                  </a:gs>
                </a:gsLst>
                <a:lin ang="5400000" scaled="1"/>
              </a:gradFill>
              <a:effectLst>
                <a:reflection blurRad="76200" stA="26000" endPos="58000" dir="5400000" sy="-100000" algn="bl" rotWithShape="0"/>
              </a:effectLst>
              <a:latin typeface="Roboto"/>
              <a:ea typeface="Arial"/>
              <a:cs typeface="Arial"/>
              <a:sym typeface="Arial"/>
            </a:rPr>
            <a:t>Annual Breakdown</a:t>
          </a:r>
        </a:p>
      </xdr:txBody>
    </xdr:sp>
    <xdr:clientData fLocksWithSheet="0"/>
  </xdr:twoCellAnchor>
  <xdr:twoCellAnchor>
    <xdr:from>
      <xdr:col>7</xdr:col>
      <xdr:colOff>19049</xdr:colOff>
      <xdr:row>1</xdr:row>
      <xdr:rowOff>371475</xdr:rowOff>
    </xdr:from>
    <xdr:to>
      <xdr:col>8</xdr:col>
      <xdr:colOff>342900</xdr:colOff>
      <xdr:row>4</xdr:row>
      <xdr:rowOff>104775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5D7ED8B-368A-4F57-AC5B-5C2F36C1BDE3}"/>
            </a:ext>
          </a:extLst>
        </xdr:cNvPr>
        <xdr:cNvSpPr/>
      </xdr:nvSpPr>
      <xdr:spPr>
        <a:xfrm>
          <a:off x="3171824" y="1009650"/>
          <a:ext cx="1781176" cy="5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accent6">
                  <a:lumMod val="50000"/>
                </a:schemeClr>
              </a:solidFill>
              <a:latin typeface="+mn-lt"/>
            </a:rPr>
            <a:t>Income Withdrawal </a:t>
          </a:r>
        </a:p>
        <a:p>
          <a:pPr algn="l"/>
          <a:r>
            <a:rPr lang="en-US" sz="1000" b="1">
              <a:solidFill>
                <a:schemeClr val="accent6">
                  <a:lumMod val="50000"/>
                </a:schemeClr>
              </a:solidFill>
              <a:latin typeface="+mn-lt"/>
            </a:rPr>
            <a:t>(Adjusted for</a:t>
          </a:r>
          <a:r>
            <a:rPr lang="en-US" sz="1000" b="1" baseline="0">
              <a:solidFill>
                <a:schemeClr val="accent6">
                  <a:lumMod val="50000"/>
                </a:schemeClr>
              </a:solidFill>
              <a:latin typeface="+mn-lt"/>
            </a:rPr>
            <a:t> Inflation)</a:t>
          </a:r>
          <a:endParaRPr lang="en-US" sz="1000" b="1">
            <a:solidFill>
              <a:schemeClr val="accent6">
                <a:lumMod val="50000"/>
              </a:schemeClr>
            </a:solidFill>
            <a:latin typeface="+mn-lt"/>
          </a:endParaRPr>
        </a:p>
      </xdr:txBody>
    </xdr:sp>
    <xdr:clientData/>
  </xdr:twoCellAnchor>
  <xdr:twoCellAnchor>
    <xdr:from>
      <xdr:col>9</xdr:col>
      <xdr:colOff>76200</xdr:colOff>
      <xdr:row>1</xdr:row>
      <xdr:rowOff>266698</xdr:rowOff>
    </xdr:from>
    <xdr:to>
      <xdr:col>13</xdr:col>
      <xdr:colOff>542925</xdr:colOff>
      <xdr:row>4</xdr:row>
      <xdr:rowOff>66674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B550BFAB-CAAD-4824-93DB-0138D8C4A672}"/>
            </a:ext>
          </a:extLst>
        </xdr:cNvPr>
        <xdr:cNvSpPr/>
      </xdr:nvSpPr>
      <xdr:spPr>
        <a:xfrm>
          <a:off x="6210300" y="904873"/>
          <a:ext cx="1895475" cy="638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200" b="1">
              <a:solidFill>
                <a:schemeClr val="accent6">
                  <a:lumMod val="50000"/>
                </a:schemeClr>
              </a:solidFill>
              <a:latin typeface="+mn-lt"/>
            </a:rPr>
            <a:t>What You'll</a:t>
          </a:r>
          <a:r>
            <a:rPr lang="en-US" sz="1200" b="1" baseline="0">
              <a:solidFill>
                <a:schemeClr val="accent6">
                  <a:lumMod val="50000"/>
                </a:schemeClr>
              </a:solidFill>
              <a:latin typeface="+mn-lt"/>
            </a:rPr>
            <a:t> Need</a:t>
          </a:r>
          <a:endParaRPr lang="en-US" sz="1200" b="1">
            <a:solidFill>
              <a:schemeClr val="accent6">
                <a:lumMod val="50000"/>
              </a:schemeClr>
            </a:solidFill>
            <a:latin typeface="+mn-lt"/>
          </a:endParaRPr>
        </a:p>
        <a:p>
          <a:pPr algn="l"/>
          <a:r>
            <a:rPr lang="en-US" sz="1000" b="1">
              <a:solidFill>
                <a:schemeClr val="accent6">
                  <a:lumMod val="50000"/>
                </a:schemeClr>
              </a:solidFill>
              <a:latin typeface="+mn-lt"/>
            </a:rPr>
            <a:t>(Adjusted for</a:t>
          </a:r>
          <a:r>
            <a:rPr lang="en-US" sz="1000" b="1" baseline="0">
              <a:solidFill>
                <a:schemeClr val="accent6">
                  <a:lumMod val="50000"/>
                </a:schemeClr>
              </a:solidFill>
              <a:latin typeface="+mn-lt"/>
            </a:rPr>
            <a:t>Inflation)</a:t>
          </a:r>
          <a:endParaRPr lang="en-US" sz="1000" b="1">
            <a:solidFill>
              <a:schemeClr val="accent6">
                <a:lumMod val="50000"/>
              </a:schemeClr>
            </a:solidFill>
            <a:latin typeface="+mn-lt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42182</xdr:colOff>
      <xdr:row>34</xdr:row>
      <xdr:rowOff>0</xdr:rowOff>
    </xdr:to>
    <xdr:grpSp>
      <xdr:nvGrpSpPr>
        <xdr:cNvPr id="25" name="Dashboard">
          <a:extLst>
            <a:ext uri="{FF2B5EF4-FFF2-40B4-BE49-F238E27FC236}">
              <a16:creationId xmlns:a16="http://schemas.microsoft.com/office/drawing/2014/main" id="{F1E83920-4B02-4DA9-872E-F182DF0865A1}"/>
            </a:ext>
          </a:extLst>
        </xdr:cNvPr>
        <xdr:cNvGrpSpPr/>
      </xdr:nvGrpSpPr>
      <xdr:grpSpPr>
        <a:xfrm>
          <a:off x="0" y="0"/>
          <a:ext cx="1956707" cy="8667750"/>
          <a:chOff x="0" y="0"/>
          <a:chExt cx="1955346" cy="8667750"/>
        </a:xfrm>
      </xdr:grpSpPr>
      <xdr:sp macro="" textlink="">
        <xdr:nvSpPr>
          <xdr:cNvPr id="26" name="BG_BG">
            <a:extLst>
              <a:ext uri="{FF2B5EF4-FFF2-40B4-BE49-F238E27FC236}">
                <a16:creationId xmlns:a16="http://schemas.microsoft.com/office/drawing/2014/main" id="{9595F2C1-56F8-4FCD-A536-C13991F72409}"/>
              </a:ext>
            </a:extLst>
          </xdr:cNvPr>
          <xdr:cNvSpPr/>
        </xdr:nvSpPr>
        <xdr:spPr>
          <a:xfrm>
            <a:off x="15356" y="7557"/>
            <a:ext cx="1889644" cy="8652897"/>
          </a:xfrm>
          <a:prstGeom prst="rect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Dashboard_Bg">
            <a:extLst>
              <a:ext uri="{FF2B5EF4-FFF2-40B4-BE49-F238E27FC236}">
                <a16:creationId xmlns:a16="http://schemas.microsoft.com/office/drawing/2014/main" id="{D967AABF-AADB-4DA9-8D9F-932ECFF3F54D}"/>
              </a:ext>
            </a:extLst>
          </xdr:cNvPr>
          <xdr:cNvSpPr>
            <a:spLocks noChangeAspect="1"/>
          </xdr:cNvSpPr>
        </xdr:nvSpPr>
        <xdr:spPr>
          <a:xfrm>
            <a:off x="0" y="0"/>
            <a:ext cx="1888577" cy="8667750"/>
          </a:xfrm>
          <a:prstGeom prst="rect">
            <a:avLst/>
          </a:prstGeom>
          <a:gradFill>
            <a:gsLst>
              <a:gs pos="0">
                <a:schemeClr val="bg1"/>
              </a:gs>
              <a:gs pos="5000">
                <a:srgbClr val="D9EBEB"/>
              </a:gs>
              <a:gs pos="11000">
                <a:schemeClr val="accent5">
                  <a:lumMod val="75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f</a:t>
            </a:r>
          </a:p>
        </xdr:txBody>
      </xdr:sp>
      <xdr:sp macro="" textlink="">
        <xdr:nvSpPr>
          <xdr:cNvPr id="28" name="FFC">
            <a:extLst>
              <a:ext uri="{FF2B5EF4-FFF2-40B4-BE49-F238E27FC236}">
                <a16:creationId xmlns:a16="http://schemas.microsoft.com/office/drawing/2014/main" id="{718EB4A5-6693-4ACB-ACA6-9AB900E1705C}"/>
              </a:ext>
            </a:extLst>
          </xdr:cNvPr>
          <xdr:cNvSpPr>
            <a:spLocks/>
          </xdr:cNvSpPr>
        </xdr:nvSpPr>
        <xdr:spPr>
          <a:xfrm>
            <a:off x="1" y="2419350"/>
            <a:ext cx="1896716" cy="282931"/>
          </a:xfrm>
          <a:prstGeom prst="roundRect">
            <a:avLst/>
          </a:prstGeom>
          <a:gradFill>
            <a:gsLst>
              <a:gs pos="100000">
                <a:srgbClr val="7EAA2D"/>
              </a:gs>
              <a:gs pos="0">
                <a:srgbClr val="588408"/>
              </a:gs>
              <a:gs pos="50000">
                <a:srgbClr val="4F9B31"/>
              </a:gs>
              <a:gs pos="84000">
                <a:srgbClr val="9FCB4D"/>
              </a:gs>
              <a:gs pos="7000">
                <a:srgbClr val="A7E13F"/>
              </a:gs>
            </a:gsLst>
            <a:lin ang="5400000" scaled="1"/>
          </a:gradFill>
          <a:ln w="12700"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wrap="none" rtlCol="0" anchor="ctr">
            <a:scene3d>
              <a:camera prst="orthographicFront"/>
              <a:lightRig rig="threePt" dir="t"/>
            </a:scene3d>
            <a:sp3d extrusionH="57150">
              <a:bevelT w="69850" h="38100" prst="cross"/>
              <a:bevelB w="57150" h="38100" prst="hardEdge"/>
            </a:sp3d>
          </a:bodyPr>
          <a:lstStyle/>
          <a:p>
            <a:pPr algn="ctr"/>
            <a:r>
              <a:rPr lang="en-US" sz="1200" b="1" i="1">
                <a:gradFill>
                  <a:gsLst>
                    <a:gs pos="64000">
                      <a:schemeClr val="bg1"/>
                    </a:gs>
                    <a:gs pos="0">
                      <a:srgbClr val="FFFF00"/>
                    </a:gs>
                  </a:gsLst>
                  <a:lin ang="5400000" scaled="1"/>
                </a:gradFill>
                <a:effectLst>
                  <a:glow rad="88900">
                    <a:schemeClr val="accent4">
                      <a:lumMod val="75000"/>
                      <a:alpha val="29000"/>
                    </a:schemeClr>
                  </a:glow>
                  <a:reflection blurRad="6350" stA="44000" endPos="53000" dir="5400000" sy="-100000" algn="bl" rotWithShape="0"/>
                </a:effectLst>
              </a:rPr>
              <a:t>Annual Breakdown</a:t>
            </a:r>
            <a:endParaRPr lang="en-US" sz="1200" b="1">
              <a:gradFill>
                <a:gsLst>
                  <a:gs pos="64000">
                    <a:schemeClr val="bg1"/>
                  </a:gs>
                  <a:gs pos="0">
                    <a:srgbClr val="FFFF00"/>
                  </a:gs>
                </a:gsLst>
                <a:lin ang="5400000" scaled="1"/>
              </a:gradFill>
              <a:effectLst>
                <a:glow rad="88900">
                  <a:schemeClr val="accent4">
                    <a:lumMod val="75000"/>
                    <a:alpha val="29000"/>
                  </a:schemeClr>
                </a:glow>
                <a:reflection blurRad="6350" stA="44000" endPos="53000" dir="5400000" sy="-100000" algn="bl" rotWithShape="0"/>
              </a:effectLst>
            </a:endParaRPr>
          </a:p>
        </xdr:txBody>
      </xdr:sp>
      <xdr:sp macro="" textlink="">
        <xdr:nvSpPr>
          <xdr:cNvPr id="29" name="Annual Breakdown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BA70171-70A1-4197-B66E-AEC94376F6EA}"/>
              </a:ext>
            </a:extLst>
          </xdr:cNvPr>
          <xdr:cNvSpPr>
            <a:spLocks/>
          </xdr:cNvSpPr>
        </xdr:nvSpPr>
        <xdr:spPr>
          <a:xfrm>
            <a:off x="0" y="2119519"/>
            <a:ext cx="1888435" cy="269282"/>
          </a:xfrm>
          <a:prstGeom prst="roundRect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/>
          <a:lstStyle/>
          <a:p>
            <a:pPr algn="ctr"/>
            <a:r>
              <a:rPr lang="en-US" sz="1200">
                <a:gradFill>
                  <a:gsLst>
                    <a:gs pos="0">
                      <a:srgbClr val="A9C2C3"/>
                    </a:gs>
                    <a:gs pos="63000">
                      <a:srgbClr val="94B8BC"/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400000" scaled="1"/>
                </a:gradFill>
              </a:rPr>
              <a:t>Financial </a:t>
            </a:r>
            <a:r>
              <a:rPr lang="en-US" sz="1100">
                <a:gradFill>
                  <a:gsLst>
                    <a:gs pos="0">
                      <a:srgbClr val="A9C2C3"/>
                    </a:gs>
                    <a:gs pos="63000">
                      <a:srgbClr val="94B8BC"/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400000" scaled="1"/>
                </a:gradFill>
              </a:rPr>
              <a:t>Freedom</a:t>
            </a:r>
            <a:r>
              <a:rPr lang="en-US" sz="1200">
                <a:gradFill>
                  <a:gsLst>
                    <a:gs pos="0">
                      <a:srgbClr val="A9C2C3"/>
                    </a:gs>
                    <a:gs pos="63000">
                      <a:srgbClr val="94B8BC"/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400000" scaled="1"/>
                </a:gradFill>
              </a:rPr>
              <a:t> Calculator</a:t>
            </a:r>
          </a:p>
        </xdr:txBody>
      </xdr:sp>
      <xdr:grpSp>
        <xdr:nvGrpSpPr>
          <xdr:cNvPr id="30" name="Logo">
            <a:extLst>
              <a:ext uri="{FF2B5EF4-FFF2-40B4-BE49-F238E27FC236}">
                <a16:creationId xmlns:a16="http://schemas.microsoft.com/office/drawing/2014/main" id="{922292FA-DD19-43EB-B18F-FDC642772D59}"/>
              </a:ext>
            </a:extLst>
          </xdr:cNvPr>
          <xdr:cNvGrpSpPr/>
        </xdr:nvGrpSpPr>
        <xdr:grpSpPr>
          <a:xfrm>
            <a:off x="1" y="60748"/>
            <a:ext cx="1955345" cy="1594089"/>
            <a:chOff x="0" y="89589"/>
            <a:chExt cx="2857501" cy="2350925"/>
          </a:xfrm>
        </xdr:grpSpPr>
        <xdr:sp macro="" textlink="">
          <xdr:nvSpPr>
            <xdr:cNvPr id="31" name="Enriched">
              <a:extLst>
                <a:ext uri="{FF2B5EF4-FFF2-40B4-BE49-F238E27FC236}">
                  <a16:creationId xmlns:a16="http://schemas.microsoft.com/office/drawing/2014/main" id="{3A0EEF10-BC22-4B2B-B23E-B845654BB3DA}"/>
                </a:ext>
              </a:extLst>
            </xdr:cNvPr>
            <xdr:cNvSpPr/>
          </xdr:nvSpPr>
          <xdr:spPr>
            <a:xfrm>
              <a:off x="0" y="907678"/>
              <a:ext cx="2811790" cy="96813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3600" b="0">
                  <a:ln w="9525" cmpd="sng">
                    <a:solidFill>
                      <a:srgbClr val="FFBF8F"/>
                    </a:solidFill>
                  </a:ln>
                  <a:gradFill>
                    <a:gsLst>
                      <a:gs pos="100000">
                        <a:srgbClr val="9F319F">
                          <a:alpha val="0"/>
                        </a:srgbClr>
                      </a:gs>
                      <a:gs pos="0">
                        <a:srgbClr val="EEF0D4"/>
                      </a:gs>
                      <a:gs pos="61000">
                        <a:schemeClr val="accent1">
                          <a:lumMod val="5000"/>
                          <a:lumOff val="95000"/>
                        </a:schemeClr>
                      </a:gs>
                    </a:gsLst>
                    <a:lin ang="5400000" scaled="1"/>
                  </a:gradFill>
                  <a:latin typeface="+mn-lt"/>
                </a:rPr>
                <a:t>Enriched</a:t>
              </a:r>
              <a:endParaRPr lang="en-US" sz="4800" b="0">
                <a:ln w="9525" cmpd="sng">
                  <a:solidFill>
                    <a:srgbClr val="FFBF8F"/>
                  </a:solidFill>
                </a:ln>
                <a:gradFill>
                  <a:gsLst>
                    <a:gs pos="100000">
                      <a:srgbClr val="9F319F">
                        <a:alpha val="0"/>
                      </a:srgbClr>
                    </a:gs>
                    <a:gs pos="0">
                      <a:srgbClr val="EEF0D4"/>
                    </a:gs>
                    <a:gs pos="61000">
                      <a:schemeClr val="accent1">
                        <a:lumMod val="5000"/>
                        <a:lumOff val="95000"/>
                      </a:schemeClr>
                    </a:gs>
                  </a:gsLst>
                  <a:lin ang="5400000" scaled="1"/>
                </a:gradFill>
                <a:latin typeface="+mn-lt"/>
              </a:endParaRPr>
            </a:p>
          </xdr:txBody>
        </xdr:sp>
        <xdr:sp macro="" textlink="">
          <xdr:nvSpPr>
            <xdr:cNvPr id="32" name="Academy">
              <a:extLst>
                <a:ext uri="{FF2B5EF4-FFF2-40B4-BE49-F238E27FC236}">
                  <a16:creationId xmlns:a16="http://schemas.microsoft.com/office/drawing/2014/main" id="{8E0998D6-9669-492A-A9CD-2F6189075787}"/>
                </a:ext>
              </a:extLst>
            </xdr:cNvPr>
            <xdr:cNvSpPr>
              <a:spLocks noChangeAspect="1"/>
            </xdr:cNvSpPr>
          </xdr:nvSpPr>
          <xdr:spPr>
            <a:xfrm>
              <a:off x="85165" y="1629852"/>
              <a:ext cx="2682252" cy="49176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2400" b="0">
                  <a:ln w="9525" cmpd="sng">
                    <a:solidFill>
                      <a:srgbClr val="FFD7B9"/>
                    </a:solidFill>
                  </a:ln>
                  <a:gradFill>
                    <a:gsLst>
                      <a:gs pos="100000">
                        <a:srgbClr val="9F319F">
                          <a:alpha val="0"/>
                        </a:srgbClr>
                      </a:gs>
                      <a:gs pos="0">
                        <a:srgbClr val="EEF0D4"/>
                      </a:gs>
                      <a:gs pos="61000">
                        <a:schemeClr val="accent1">
                          <a:lumMod val="5000"/>
                          <a:lumOff val="95000"/>
                        </a:schemeClr>
                      </a:gs>
                    </a:gsLst>
                    <a:lin ang="5400000" scaled="1"/>
                  </a:gradFill>
                  <a:latin typeface="+mn-lt"/>
                </a:rPr>
                <a:t>ACADEMY</a:t>
              </a:r>
              <a:endParaRPr lang="en-US" sz="2800" b="0">
                <a:ln w="9525" cmpd="sng">
                  <a:solidFill>
                    <a:srgbClr val="FFD7B9"/>
                  </a:solidFill>
                </a:ln>
                <a:gradFill>
                  <a:gsLst>
                    <a:gs pos="100000">
                      <a:srgbClr val="9F319F">
                        <a:alpha val="0"/>
                      </a:srgbClr>
                    </a:gs>
                    <a:gs pos="0">
                      <a:srgbClr val="EEF0D4"/>
                    </a:gs>
                    <a:gs pos="61000">
                      <a:schemeClr val="accent1">
                        <a:lumMod val="5000"/>
                        <a:lumOff val="95000"/>
                      </a:schemeClr>
                    </a:gs>
                  </a:gsLst>
                  <a:lin ang="5400000" scaled="1"/>
                </a:gradFill>
                <a:latin typeface="+mn-lt"/>
              </a:endParaRPr>
            </a:p>
          </xdr:txBody>
        </xdr:sp>
        <xdr:pic>
          <xdr:nvPicPr>
            <xdr:cNvPr id="33" name="Tree">
              <a:extLst>
                <a:ext uri="{FF2B5EF4-FFF2-40B4-BE49-F238E27FC236}">
                  <a16:creationId xmlns:a16="http://schemas.microsoft.com/office/drawing/2014/main" id="{15C7DF2C-600A-4E73-B128-78CA360C1788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13072"/>
            <a:stretch/>
          </xdr:blipFill>
          <xdr:spPr>
            <a:xfrm>
              <a:off x="857570" y="89589"/>
              <a:ext cx="1161910" cy="1584515"/>
            </a:xfrm>
            <a:prstGeom prst="rect">
              <a:avLst/>
            </a:prstGeom>
          </xdr:spPr>
        </xdr:pic>
        <xdr:pic>
          <xdr:nvPicPr>
            <xdr:cNvPr id="34" name="Seaparator">
              <a:extLst>
                <a:ext uri="{FF2B5EF4-FFF2-40B4-BE49-F238E27FC236}">
                  <a16:creationId xmlns:a16="http://schemas.microsoft.com/office/drawing/2014/main" id="{CCA98AA8-D590-430A-9D9B-FB52C02ACB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9648" y="2085438"/>
              <a:ext cx="2767853" cy="355076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14</xdr:col>
      <xdr:colOff>0</xdr:colOff>
      <xdr:row>4</xdr:row>
      <xdr:rowOff>9525</xdr:rowOff>
    </xdr:from>
    <xdr:to>
      <xdr:col>16</xdr:col>
      <xdr:colOff>16809</xdr:colOff>
      <xdr:row>19</xdr:row>
      <xdr:rowOff>38660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67DEA20-4B36-4B8E-AC4B-D70A86234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5"/>
  <sheetViews>
    <sheetView showGridLines="0" tabSelected="1" zoomScaleNormal="100" workbookViewId="0">
      <selection activeCell="B1" sqref="B1:G1"/>
    </sheetView>
  </sheetViews>
  <sheetFormatPr defaultColWidth="8.85546875" defaultRowHeight="15"/>
  <cols>
    <col min="1" max="1" width="29.28515625" customWidth="1"/>
    <col min="2" max="2" width="13" customWidth="1"/>
    <col min="3" max="3" width="43.7109375" style="1" customWidth="1"/>
    <col min="4" max="4" width="6" style="1" customWidth="1"/>
    <col min="5" max="5" width="20.85546875" style="2" customWidth="1"/>
    <col min="6" max="6" width="1.140625" style="2" customWidth="1"/>
    <col min="7" max="7" width="8.7109375" style="1" customWidth="1"/>
    <col min="8" max="8" width="7.7109375" style="1" customWidth="1"/>
    <col min="9" max="9" width="41.42578125" style="1" customWidth="1"/>
    <col min="10" max="10" width="34" style="1" customWidth="1"/>
    <col min="11" max="11" width="10.7109375" style="1" customWidth="1"/>
    <col min="12" max="12" width="10.42578125" bestFit="1" customWidth="1"/>
  </cols>
  <sheetData>
    <row r="1" spans="2:21" ht="50.25" customHeight="1">
      <c r="B1" s="153"/>
      <c r="C1" s="153"/>
      <c r="D1" s="153"/>
      <c r="E1" s="153"/>
      <c r="F1" s="153"/>
      <c r="G1" s="153"/>
      <c r="H1" s="95"/>
      <c r="I1" s="95"/>
      <c r="J1" s="3"/>
      <c r="K1" s="20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1" ht="42" customHeight="1">
      <c r="B2" s="9"/>
      <c r="C2" s="9"/>
      <c r="D2" s="9"/>
      <c r="E2" s="9"/>
      <c r="F2" s="9"/>
      <c r="G2" s="9"/>
      <c r="H2" s="95"/>
      <c r="I2" s="95"/>
      <c r="J2" s="3"/>
      <c r="K2" s="20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2:21" ht="21.75" customHeight="1">
      <c r="B3" s="9"/>
      <c r="C3" s="98" t="s">
        <v>6</v>
      </c>
      <c r="D3" s="9"/>
      <c r="E3" s="9"/>
      <c r="F3" s="9"/>
      <c r="G3" s="9"/>
      <c r="H3" s="150" t="s">
        <v>20</v>
      </c>
      <c r="I3" s="150"/>
      <c r="K3" s="20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2:21" ht="4.5" customHeight="1">
      <c r="B4" s="8"/>
      <c r="C4" s="12"/>
      <c r="D4" s="12"/>
      <c r="E4" s="13"/>
      <c r="F4" s="137"/>
      <c r="G4" s="95"/>
      <c r="H4" s="97"/>
      <c r="I4" s="97"/>
      <c r="J4" s="97"/>
      <c r="K4" s="20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2:21" ht="3" customHeight="1">
      <c r="B5" s="8"/>
      <c r="C5" s="40"/>
      <c r="D5" s="14"/>
      <c r="E5" s="14"/>
      <c r="F5" s="32"/>
      <c r="G5" s="95"/>
      <c r="H5" s="106"/>
      <c r="I5" s="106"/>
      <c r="K5" s="20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2:21" s="7" customFormat="1" ht="17.100000000000001" customHeight="1">
      <c r="B6" s="17"/>
      <c r="C6" s="58" t="s">
        <v>3</v>
      </c>
      <c r="D6" s="59"/>
      <c r="E6" s="44">
        <v>30</v>
      </c>
      <c r="F6" s="32"/>
      <c r="G6" s="95"/>
      <c r="H6" s="106"/>
      <c r="I6" s="106"/>
      <c r="K6" s="20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2:21" s="7" customFormat="1" ht="5.25" customHeight="1">
      <c r="B7" s="17"/>
      <c r="C7" s="58"/>
      <c r="D7" s="59"/>
      <c r="E7" s="45"/>
      <c r="F7" s="32"/>
      <c r="G7" s="9"/>
      <c r="H7" s="106"/>
      <c r="I7" s="106"/>
      <c r="K7" s="20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2:21" s="7" customFormat="1" ht="17.100000000000001" customHeight="1">
      <c r="B8" s="17"/>
      <c r="C8" s="154" t="s">
        <v>8</v>
      </c>
      <c r="D8" s="155"/>
      <c r="E8" s="46">
        <v>60</v>
      </c>
      <c r="F8" s="33"/>
      <c r="G8" s="9"/>
      <c r="H8" s="106"/>
      <c r="I8" s="106"/>
      <c r="K8" s="20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2:21" s="7" customFormat="1" ht="5.25" customHeight="1">
      <c r="B9" s="17"/>
      <c r="C9" s="154"/>
      <c r="D9" s="155"/>
      <c r="E9" s="47"/>
      <c r="F9" s="33"/>
      <c r="G9" s="9"/>
      <c r="H9" s="106"/>
      <c r="I9" s="106"/>
      <c r="K9" s="20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2:21" s="7" customFormat="1" ht="17.100000000000001" customHeight="1">
      <c r="B10" s="17"/>
      <c r="C10" s="60" t="s">
        <v>22</v>
      </c>
      <c r="D10" s="59"/>
      <c r="E10" s="48">
        <v>30</v>
      </c>
      <c r="F10" s="32"/>
      <c r="G10" s="9"/>
      <c r="H10" s="106"/>
      <c r="I10" s="106"/>
      <c r="K10" s="20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2:21" s="7" customFormat="1" ht="5.25" customHeight="1">
      <c r="B11" s="17"/>
      <c r="C11" s="58"/>
      <c r="D11" s="59"/>
      <c r="E11" s="49"/>
      <c r="F11" s="32"/>
      <c r="G11" s="9"/>
      <c r="H11" s="106"/>
      <c r="I11" s="106"/>
      <c r="K11" s="20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2:21" s="7" customFormat="1" ht="27" customHeight="1">
      <c r="B12" s="17"/>
      <c r="C12" s="61" t="s">
        <v>15</v>
      </c>
      <c r="D12" s="62"/>
      <c r="E12" s="85">
        <f>E8-E6</f>
        <v>30</v>
      </c>
      <c r="F12" s="41"/>
      <c r="G12" s="15"/>
      <c r="H12" s="106"/>
      <c r="I12" s="106"/>
      <c r="K12" s="20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2:21" s="7" customFormat="1" ht="3.75" customHeight="1">
      <c r="B13" s="17"/>
      <c r="C13" s="64"/>
      <c r="D13" s="65"/>
      <c r="E13" s="50"/>
      <c r="F13" s="32"/>
      <c r="G13" s="9"/>
      <c r="H13" s="106"/>
      <c r="I13" s="106"/>
      <c r="K13" s="20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2:21" s="7" customFormat="1" ht="18.75" customHeight="1">
      <c r="B14" s="17"/>
      <c r="C14" s="66" t="s">
        <v>28</v>
      </c>
      <c r="D14" s="65"/>
      <c r="E14" s="51">
        <v>50000</v>
      </c>
      <c r="F14" s="34"/>
      <c r="G14" s="9"/>
      <c r="H14" s="106"/>
      <c r="I14" s="106"/>
      <c r="K14" s="20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2:21" s="7" customFormat="1" ht="4.5" customHeight="1">
      <c r="B15" s="17"/>
      <c r="C15" s="67"/>
      <c r="D15" s="107"/>
      <c r="E15" s="107"/>
      <c r="F15" s="108"/>
      <c r="G15" s="78"/>
      <c r="H15" s="106"/>
      <c r="I15" s="106"/>
      <c r="K15" s="78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2:21" s="7" customFormat="1" ht="16.5" customHeight="1">
      <c r="B16" s="17"/>
      <c r="C16" s="67" t="s">
        <v>5</v>
      </c>
      <c r="D16" s="68"/>
      <c r="E16" s="52">
        <v>100000</v>
      </c>
      <c r="F16" s="35"/>
      <c r="G16" s="76"/>
      <c r="H16" s="76"/>
      <c r="I16" s="76"/>
      <c r="J16" s="3"/>
      <c r="K16" s="20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 s="7" customFormat="1" ht="5.25" customHeight="1">
      <c r="B17" s="17"/>
      <c r="C17" s="64"/>
      <c r="D17" s="59"/>
      <c r="E17" s="50"/>
      <c r="F17" s="32"/>
      <c r="G17" s="9"/>
      <c r="H17" s="106"/>
      <c r="I17" s="106"/>
      <c r="J17" s="3"/>
      <c r="K17" s="20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 s="7" customFormat="1" ht="18.75" customHeight="1">
      <c r="B18" s="17"/>
      <c r="C18" s="58" t="s">
        <v>16</v>
      </c>
      <c r="D18" s="59"/>
      <c r="E18" s="52">
        <v>5000</v>
      </c>
      <c r="F18" s="34"/>
      <c r="G18" s="78"/>
      <c r="H18" s="106"/>
      <c r="I18" s="106"/>
      <c r="K18" s="78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 s="7" customFormat="1" ht="5.25" customHeight="1">
      <c r="B19" s="17"/>
      <c r="C19" s="109"/>
      <c r="D19" s="68"/>
      <c r="E19" s="110"/>
      <c r="F19" s="32"/>
      <c r="G19" s="9"/>
      <c r="H19" s="106"/>
      <c r="I19" s="106"/>
      <c r="J19" s="3"/>
      <c r="K19" s="20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 s="7" customFormat="1" ht="17.100000000000001" customHeight="1">
      <c r="B20" s="17"/>
      <c r="C20" s="67" t="s">
        <v>7</v>
      </c>
      <c r="D20" s="100"/>
      <c r="E20" s="83">
        <v>7.0000000000000007E-2</v>
      </c>
      <c r="F20" s="42"/>
      <c r="G20" s="18"/>
      <c r="H20" s="18"/>
      <c r="I20" s="18"/>
      <c r="J20" s="3"/>
      <c r="K20" s="18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 s="7" customFormat="1" ht="5.25" customHeight="1">
      <c r="B21" s="17"/>
      <c r="C21" s="64"/>
      <c r="D21" s="65"/>
      <c r="E21" s="50"/>
      <c r="F21" s="43"/>
      <c r="G21" s="9"/>
      <c r="H21" s="106"/>
      <c r="I21" s="106"/>
      <c r="J21" s="3" t="s">
        <v>1</v>
      </c>
      <c r="K21" s="20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 s="7" customFormat="1" ht="17.100000000000001" customHeight="1">
      <c r="B22" s="17"/>
      <c r="C22" s="66" t="s">
        <v>4</v>
      </c>
      <c r="D22" s="65"/>
      <c r="E22" s="84">
        <v>0.02</v>
      </c>
      <c r="F22" s="36"/>
      <c r="G22" s="9"/>
      <c r="H22" s="106"/>
      <c r="I22" s="106"/>
      <c r="J22" s="3"/>
      <c r="K22" s="20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 s="7" customFormat="1" ht="7.5" customHeight="1">
      <c r="B23" s="17"/>
      <c r="C23" s="111"/>
      <c r="D23" s="112"/>
      <c r="E23" s="113"/>
      <c r="F23" s="114"/>
      <c r="G23" s="9"/>
      <c r="H23" s="106"/>
      <c r="I23" s="106"/>
      <c r="J23" s="3"/>
      <c r="K23" s="20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 s="7" customFormat="1" ht="12.75" customHeight="1">
      <c r="B24" s="17"/>
      <c r="C24" s="115"/>
      <c r="D24" s="100"/>
      <c r="E24" s="55"/>
      <c r="F24" s="35"/>
      <c r="G24" s="16"/>
      <c r="H24" s="106"/>
      <c r="I24" s="106"/>
      <c r="J24" s="3"/>
      <c r="K24" s="20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2:21" s="7" customFormat="1" ht="18.75" customHeight="1">
      <c r="B25" s="17"/>
      <c r="C25" s="116" t="s">
        <v>30</v>
      </c>
      <c r="D25" s="68"/>
      <c r="E25" s="53">
        <v>75000</v>
      </c>
      <c r="F25" s="35"/>
      <c r="G25" s="9"/>
      <c r="H25" s="106"/>
      <c r="I25" s="106"/>
      <c r="J25" s="3"/>
      <c r="K25" s="20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2:21" s="7" customFormat="1" ht="16.5" customHeight="1">
      <c r="B26" s="17"/>
      <c r="C26" s="117" t="s">
        <v>9</v>
      </c>
      <c r="D26" s="118"/>
      <c r="E26" s="91">
        <v>20000</v>
      </c>
      <c r="F26" s="119"/>
      <c r="G26" s="9"/>
      <c r="H26" s="106"/>
      <c r="I26" s="106"/>
      <c r="J26" s="3"/>
      <c r="K26" s="21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2:21" s="7" customFormat="1" ht="18.75" customHeight="1">
      <c r="B27" s="17"/>
      <c r="C27" s="77" t="s">
        <v>29</v>
      </c>
      <c r="D27" s="68"/>
      <c r="E27" s="87">
        <f>E25-E26</f>
        <v>55000</v>
      </c>
      <c r="F27" s="35"/>
      <c r="G27" s="9"/>
      <c r="H27" s="106"/>
      <c r="I27" s="106"/>
      <c r="K27" s="20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2:21" s="7" customFormat="1" ht="7.5" customHeight="1">
      <c r="B28" s="17"/>
      <c r="C28" s="31"/>
      <c r="D28" s="68"/>
      <c r="E28" s="54"/>
      <c r="F28" s="35"/>
      <c r="G28" s="19"/>
      <c r="H28" s="106"/>
      <c r="I28" s="106"/>
      <c r="K28" s="20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2:21" s="7" customFormat="1" ht="21" hidden="1">
      <c r="B29" s="17"/>
      <c r="C29" s="92" t="s">
        <v>12</v>
      </c>
      <c r="D29" s="22"/>
      <c r="E29" s="86">
        <f>FV(E22,E12, ,E27,0)*-1</f>
        <v>99624.887125684443</v>
      </c>
      <c r="F29" s="35"/>
      <c r="G29" s="9"/>
      <c r="H29" s="106"/>
      <c r="I29" s="106"/>
      <c r="K29" s="20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2:21" s="7" customFormat="1" ht="4.5" customHeight="1">
      <c r="B30" s="17"/>
      <c r="C30" s="69"/>
      <c r="D30" s="70"/>
      <c r="E30" s="55"/>
      <c r="F30" s="37"/>
      <c r="G30" s="9"/>
      <c r="H30" s="106"/>
      <c r="I30" s="106"/>
      <c r="K30" s="20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2:21" s="7" customFormat="1" ht="14.25" customHeight="1">
      <c r="B31" s="17"/>
      <c r="C31" s="64"/>
      <c r="D31" s="71"/>
      <c r="E31" s="50"/>
      <c r="F31" s="38"/>
      <c r="G31" s="9"/>
      <c r="H31" s="106"/>
      <c r="I31" s="106"/>
      <c r="K31" s="20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2:21" s="7" customFormat="1" ht="24.75" customHeight="1">
      <c r="B32" s="17"/>
      <c r="C32" s="147" t="s">
        <v>27</v>
      </c>
      <c r="D32" s="89"/>
      <c r="E32" s="88">
        <f>-PV(((1+return_rate)/(1+inflation_rate)-1),life_span,future_income,0,1)</f>
        <v>1624662.5671211779</v>
      </c>
      <c r="F32" s="38"/>
      <c r="G32" s="75"/>
      <c r="H32" s="149" t="str">
        <f>IF(OR(E39="Good",E39="Great!"),"☑",IF(E39="Poor","ⓧ","⚠️"))</f>
        <v>☑</v>
      </c>
      <c r="I32" s="144" t="str">
        <f>IF(AND(OR(E39="Great!",E39="Good"),VLOOKUP(0,'Annual Breakdown'!$D$5:$O$127,7,)&gt;VLOOKUP(0,'Annual Breakdown'!$D$5:$O$127,6,)),"Minor Adjustments Needed",
IF(AND(E39="Fair",VLOOKUP(0,'Annual Breakdown'!$D$5:$O$127,7,)&gt;VLOOKUP(0,'Annual Breakdown'!$D$5:$O$127,6,)),"Adjustments Needed",
IF(AND(E39="Poor",VLOOKUP(0,'Annual Breakdown'!$D$5:$O$127,7,)&gt;VLOOKUP(0,'Annual Breakdown'!$D$5:$O$127,6,)),"Major Adjustments Needed",
"On Track!")))</f>
        <v>Minor Adjustments Needed</v>
      </c>
      <c r="J32" s="138"/>
      <c r="K32" s="9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s="7" customFormat="1" ht="22.5" customHeight="1" thickBot="1">
      <c r="B33" s="17"/>
      <c r="C33" s="77" t="s">
        <v>26</v>
      </c>
      <c r="D33" s="90"/>
      <c r="E33" s="94">
        <f>FV(E20,E12,E18,E16,0)*-1</f>
        <v>1233529.4358849195</v>
      </c>
      <c r="F33" s="35"/>
      <c r="G33" s="82"/>
      <c r="H33" s="149"/>
      <c r="I33" s="141" t="str">
        <f>"At this rate, "&amp;
IF(I32="On Track!",  "you will exceed your goal by "&amp;TEXT(VLOOKUP(0,'Annual Breakdown'!$D$5:$O$127,6,)-VLOOKUP(0,'Annual Breakdown'!$D$5:$O$127,7,),"$##0,00"),
"you will fall short of your goal by "&amp;TEXT(ABS(VLOOKUP(0,'Annual Breakdown'!$D$5:$O$127,6,)-VLOOKUP(0,'Annual Breakdown'!$D$5:$O$127,7,)),"$##0,00"))</f>
        <v>At this rate, you will fall short of your goal by $391,133</v>
      </c>
      <c r="J33" s="139"/>
      <c r="K33" s="9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s="7" customFormat="1" ht="25.5" customHeight="1" thickTop="1">
      <c r="B34" s="17"/>
      <c r="C34" s="148" t="s">
        <v>13</v>
      </c>
      <c r="D34" s="89"/>
      <c r="E34" s="101">
        <f>E32-E33</f>
        <v>391133.13123625843</v>
      </c>
      <c r="F34" s="32"/>
      <c r="G34" s="75"/>
      <c r="H34" s="140"/>
      <c r="I34" s="156" t="str">
        <f>IF(I32="On Track!","and will leave behind "&amp;TEXT(VLOOKUP(life_span,'Annual Breakdown'!$D$5:$O$127,6,),"$#,#0"),
IF(I32="Minor Adjustments Needed","but require only an additional "&amp;TEXT(E37,"0%")&amp;" of annual savings to get on track!",
"and require an additional "&amp;TEXT(E37,"0%")&amp;" of annual savings to get on track."
))</f>
        <v>but require only an additional 8% of annual savings to get on track!</v>
      </c>
      <c r="J34" s="156"/>
      <c r="K34" s="9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s="7" customFormat="1" ht="21">
      <c r="B35" s="17"/>
      <c r="C35" s="93" t="s">
        <v>21</v>
      </c>
      <c r="D35" s="68"/>
      <c r="E35" s="102" t="str">
        <f>TEXT(E36,"$##,##0")&amp;" ("&amp;TEXT(E37,IF($E$37&lt;0,"#0.00%)","#0%)"))</f>
        <v>$4,141 (8%)</v>
      </c>
      <c r="F35" s="32"/>
      <c r="G35" s="75"/>
      <c r="K35" s="9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s="7" customFormat="1" ht="21" hidden="1">
      <c r="B36" s="17"/>
      <c r="C36" s="63" t="s">
        <v>10</v>
      </c>
      <c r="D36" s="79"/>
      <c r="E36" s="101">
        <f>PMT(return_rate,years_left,current_portf,-E32,)-deposits</f>
        <v>4140.693153831442</v>
      </c>
      <c r="F36" s="32"/>
      <c r="G36" s="75"/>
      <c r="H36" s="75"/>
      <c r="I36" s="75"/>
      <c r="K36" s="9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1" hidden="1">
      <c r="B37" s="10"/>
      <c r="C37" s="31" t="s">
        <v>0</v>
      </c>
      <c r="D37" s="68"/>
      <c r="E37" s="104">
        <f>(E36/E14)</f>
        <v>8.2813863076628844E-2</v>
      </c>
      <c r="F37" s="39"/>
      <c r="G37" s="75"/>
      <c r="H37" s="75"/>
      <c r="I37" s="75"/>
      <c r="J37" s="7"/>
      <c r="K37" s="99"/>
      <c r="L37" s="30"/>
      <c r="M37" s="30"/>
      <c r="N37" s="23"/>
      <c r="O37" s="23"/>
      <c r="P37" s="23"/>
      <c r="Q37" s="23"/>
      <c r="R37" s="23"/>
      <c r="S37" s="23"/>
      <c r="T37" s="23"/>
      <c r="U37" s="23"/>
    </row>
    <row r="38" spans="1:21" s="7" customFormat="1" ht="6.75" customHeight="1">
      <c r="B38" s="17"/>
      <c r="C38" s="80"/>
      <c r="D38" s="81"/>
      <c r="E38" s="103"/>
      <c r="F38" s="39"/>
      <c r="G38" s="75"/>
      <c r="H38" s="75"/>
      <c r="I38" s="75"/>
      <c r="K38" s="9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s="7" customFormat="1" ht="22.5" customHeight="1">
      <c r="B39" s="17"/>
      <c r="C39" s="151" t="s">
        <v>14</v>
      </c>
      <c r="D39" s="152"/>
      <c r="E39" s="57" t="str">
        <f>IF(E37&lt;=0.05,"Great!",
  IF(AND(E37&gt;0.05,E37&lt;=0.15),"Good",
  IF(AND(E37&gt;0.15,E37&lt;=0.25),"Fair",
  IF(E37&gt;0.25,"Poor",""))))</f>
        <v>Good</v>
      </c>
      <c r="F39" s="56"/>
      <c r="G39" s="75"/>
      <c r="H39" s="75"/>
      <c r="I39" s="75"/>
      <c r="K39" s="9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56.25" customHeight="1">
      <c r="B40" s="5"/>
      <c r="F40" s="6"/>
      <c r="G40" s="75"/>
      <c r="H40" s="75"/>
      <c r="I40" s="75"/>
      <c r="J40" s="7"/>
      <c r="K40" s="20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ht="21">
      <c r="B41" s="4"/>
      <c r="F41" s="6"/>
      <c r="G41" s="9"/>
      <c r="H41" s="95"/>
      <c r="I41" s="95"/>
      <c r="J41" s="7"/>
      <c r="K41" s="20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 ht="21">
      <c r="B42" s="4"/>
      <c r="F42" s="6"/>
      <c r="G42" s="16"/>
      <c r="H42" s="95"/>
      <c r="I42" s="95"/>
      <c r="J42" s="7"/>
      <c r="K42" s="20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ht="36" customHeight="1">
      <c r="B43" s="4"/>
      <c r="D43" s="11"/>
      <c r="E43" s="6"/>
      <c r="F43" s="6"/>
      <c r="G43" s="4"/>
      <c r="H43" s="4"/>
      <c r="I43" s="4"/>
      <c r="J43" s="7"/>
      <c r="K43" s="4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ht="31.5" customHeight="1">
      <c r="A44" s="23"/>
      <c r="B44" s="23"/>
      <c r="C44" s="24"/>
      <c r="D44" s="24"/>
      <c r="E44" s="25"/>
      <c r="F44" s="25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</row>
    <row r="45" spans="1:21" ht="39">
      <c r="A45" s="23"/>
      <c r="B45" s="23"/>
      <c r="C45" s="24"/>
      <c r="D45" s="24"/>
      <c r="E45" s="25"/>
      <c r="F45" s="25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21" ht="26.25">
      <c r="A46" s="23"/>
      <c r="B46" s="23"/>
      <c r="C46" s="26"/>
      <c r="D46" s="26"/>
      <c r="E46" s="25"/>
      <c r="F46" s="25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21" ht="26.25">
      <c r="A47" s="23"/>
      <c r="B47" s="23"/>
      <c r="C47" s="26"/>
      <c r="D47" s="26"/>
      <c r="E47" s="25"/>
      <c r="F47" s="25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21" ht="26.25">
      <c r="A48" s="23"/>
      <c r="B48" s="23"/>
      <c r="C48" s="26"/>
      <c r="D48" s="26"/>
      <c r="E48" s="25"/>
      <c r="F48" s="25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26.25">
      <c r="A49" s="23"/>
      <c r="B49" s="23"/>
      <c r="C49" s="26"/>
      <c r="D49" s="26"/>
      <c r="E49" s="25"/>
      <c r="F49" s="25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ht="26.25">
      <c r="A50" s="23"/>
      <c r="B50" s="23"/>
      <c r="C50" s="26"/>
      <c r="D50" s="26"/>
      <c r="E50" s="25"/>
      <c r="F50" s="25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>
      <c r="A51" s="23"/>
      <c r="B51" s="23"/>
      <c r="C51" s="27"/>
      <c r="D51" s="27"/>
      <c r="E51" s="25"/>
      <c r="F51" s="25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26.25">
      <c r="A52" s="23"/>
      <c r="B52" s="23"/>
      <c r="C52" s="26"/>
      <c r="D52" s="26"/>
      <c r="E52" s="25"/>
      <c r="F52" s="25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23"/>
      <c r="B53" s="23"/>
      <c r="C53" s="23"/>
      <c r="D53" s="23"/>
      <c r="E53" s="25"/>
      <c r="F53" s="25"/>
      <c r="G53" s="23"/>
      <c r="H53" s="23"/>
      <c r="I53" s="23"/>
      <c r="J53" s="23" t="s">
        <v>1</v>
      </c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26.25">
      <c r="A54" s="23"/>
      <c r="B54" s="23"/>
      <c r="C54" s="26"/>
      <c r="D54" s="26"/>
      <c r="E54" s="25"/>
      <c r="F54" s="25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26.25">
      <c r="A55" s="23"/>
      <c r="B55" s="23"/>
      <c r="C55" s="26"/>
      <c r="D55" s="26"/>
      <c r="E55" s="25"/>
      <c r="F55" s="25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23"/>
      <c r="B56" s="23"/>
      <c r="C56" s="23"/>
      <c r="D56" s="23"/>
      <c r="E56" s="25"/>
      <c r="F56" s="25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>
      <c r="A57" s="23"/>
      <c r="B57" s="23"/>
      <c r="C57" s="28" t="s">
        <v>2</v>
      </c>
      <c r="D57" s="28"/>
      <c r="E57" s="25"/>
      <c r="F57" s="25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>
      <c r="A58" s="23"/>
      <c r="B58" s="23"/>
      <c r="C58" s="28"/>
      <c r="D58" s="28"/>
      <c r="E58" s="25"/>
      <c r="F58" s="25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>
      <c r="A59" s="23"/>
      <c r="B59" s="23"/>
      <c r="C59" s="28"/>
      <c r="D59" s="28"/>
      <c r="E59" s="25"/>
      <c r="F59" s="25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26.25">
      <c r="A60" s="23"/>
      <c r="B60" s="23"/>
      <c r="C60" s="26"/>
      <c r="D60" s="26"/>
      <c r="E60" s="25"/>
      <c r="F60" s="25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26.25">
      <c r="A61" s="23"/>
      <c r="B61" s="23"/>
      <c r="C61" s="26"/>
      <c r="D61" s="26"/>
      <c r="E61" s="25"/>
      <c r="F61" s="25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26.25">
      <c r="A62" s="23"/>
      <c r="B62" s="23"/>
      <c r="C62" s="26"/>
      <c r="D62" s="26"/>
      <c r="E62" s="25"/>
      <c r="F62" s="25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26.25">
      <c r="A63" s="23"/>
      <c r="B63" s="23"/>
      <c r="C63" s="26"/>
      <c r="D63" s="26"/>
      <c r="E63" s="25"/>
      <c r="F63" s="25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26.25">
      <c r="A64" s="23"/>
      <c r="B64" s="23"/>
      <c r="C64" s="26"/>
      <c r="D64" s="26"/>
      <c r="E64" s="25"/>
      <c r="F64" s="25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26.25">
      <c r="A65" s="23"/>
      <c r="B65" s="23"/>
      <c r="C65" s="26"/>
      <c r="D65" s="26"/>
      <c r="E65" s="25"/>
      <c r="F65" s="25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>
      <c r="A66" s="23"/>
      <c r="B66" s="23"/>
      <c r="C66" s="23"/>
      <c r="D66" s="23"/>
      <c r="E66" s="25"/>
      <c r="F66" s="25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>
      <c r="A67" s="23"/>
      <c r="B67" s="23"/>
      <c r="C67" s="23"/>
      <c r="D67" s="23"/>
      <c r="E67" s="25"/>
      <c r="F67" s="25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>
      <c r="A68" s="23"/>
      <c r="B68" s="23"/>
      <c r="C68" s="23"/>
      <c r="D68" s="23"/>
      <c r="E68" s="25"/>
      <c r="F68" s="25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>
      <c r="A69" s="23"/>
      <c r="B69" s="23"/>
      <c r="C69" s="23"/>
      <c r="D69" s="23"/>
      <c r="E69" s="25"/>
      <c r="F69" s="25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>
      <c r="A70" s="23"/>
      <c r="B70" s="23"/>
      <c r="C70" s="23"/>
      <c r="D70" s="23"/>
      <c r="E70" s="25"/>
      <c r="F70" s="25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>
      <c r="A71" s="23"/>
      <c r="B71" s="23"/>
      <c r="C71" s="23"/>
      <c r="D71" s="23"/>
      <c r="E71" s="25"/>
      <c r="F71" s="25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>
      <c r="A72" s="23"/>
      <c r="B72" s="23"/>
      <c r="C72" s="23"/>
      <c r="D72" s="23"/>
      <c r="E72" s="25"/>
      <c r="F72" s="25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>
      <c r="A73" s="23"/>
      <c r="B73" s="23"/>
      <c r="C73" s="23"/>
      <c r="D73" s="23"/>
      <c r="E73" s="25"/>
      <c r="F73" s="25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>
      <c r="A74" s="23"/>
      <c r="B74" s="23"/>
      <c r="C74" s="23"/>
      <c r="D74" s="23"/>
      <c r="E74" s="25"/>
      <c r="F74" s="25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>
      <c r="A75" s="23"/>
      <c r="B75" s="23"/>
      <c r="C75" s="23"/>
      <c r="D75" s="23"/>
      <c r="E75" s="25"/>
      <c r="F75" s="25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</sheetData>
  <mergeCells count="6">
    <mergeCell ref="H32:H33"/>
    <mergeCell ref="H3:I3"/>
    <mergeCell ref="C39:D39"/>
    <mergeCell ref="B1:G1"/>
    <mergeCell ref="C8:D9"/>
    <mergeCell ref="I34:J34"/>
  </mergeCells>
  <conditionalFormatting sqref="G32:I32 G33 G34:H34 G36:I40 G35">
    <cfRule type="expression" dxfId="23" priority="39">
      <formula>AND($E$37&lt;=0)</formula>
    </cfRule>
    <cfRule type="expression" dxfId="22" priority="40">
      <formula>AND($E$37&lt;=0.15,$E$37&gt;0)</formula>
    </cfRule>
  </conditionalFormatting>
  <conditionalFormatting sqref="G32:I32 G33 G34:H34 G36:I40 G35">
    <cfRule type="expression" dxfId="21" priority="35">
      <formula>$E$37&gt;0.25</formula>
    </cfRule>
    <cfRule type="expression" dxfId="20" priority="36">
      <formula>AND($E$37&lt;=0.25,$E$37&gt;0.15)</formula>
    </cfRule>
  </conditionalFormatting>
  <conditionalFormatting sqref="E38">
    <cfRule type="expression" dxfId="19" priority="4">
      <formula>($E$39="Great!")</formula>
    </cfRule>
    <cfRule type="expression" dxfId="18" priority="6">
      <formula>($E$39="Good")</formula>
    </cfRule>
    <cfRule type="expression" dxfId="17" priority="8">
      <formula>($E$39="Fair")</formula>
    </cfRule>
    <cfRule type="expression" dxfId="16" priority="13">
      <formula>($E$39="Poor")</formula>
    </cfRule>
  </conditionalFormatting>
  <conditionalFormatting sqref="E34:E39 H32:J33 H34:I34">
    <cfRule type="expression" dxfId="15" priority="1">
      <formula>($E$39="Great!")</formula>
    </cfRule>
    <cfRule type="expression" dxfId="14" priority="5">
      <formula>($E$39="Good")</formula>
    </cfRule>
    <cfRule type="expression" dxfId="13" priority="7">
      <formula>($E$39="Fair")</formula>
    </cfRule>
    <cfRule type="expression" dxfId="12" priority="9">
      <formula>($E$39="Poor")</formula>
    </cfRule>
  </conditionalFormatting>
  <conditionalFormatting sqref="H32:J33 E34:E35 H34:I34">
    <cfRule type="expression" dxfId="11" priority="3">
      <formula>($E$39="Great!")</formula>
    </cfRule>
    <cfRule type="expression" dxfId="10" priority="12">
      <formula>($E$39="Poor")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918"/>
  <sheetViews>
    <sheetView showGridLines="0" zoomScaleNormal="100" workbookViewId="0"/>
  </sheetViews>
  <sheetFormatPr defaultColWidth="8.85546875" defaultRowHeight="15"/>
  <cols>
    <col min="1" max="1" width="28.42578125" customWidth="1"/>
    <col min="2" max="2" width="0.28515625" customWidth="1"/>
    <col min="3" max="3" width="12.28515625" customWidth="1"/>
    <col min="4" max="4" width="6.28515625" customWidth="1"/>
    <col min="5" max="6" width="22.85546875" hidden="1" customWidth="1"/>
    <col min="7" max="7" width="3" hidden="1" customWidth="1"/>
    <col min="8" max="8" width="21.85546875" customWidth="1"/>
    <col min="9" max="9" width="22.85546875" customWidth="1"/>
    <col min="10" max="10" width="21.42578125" customWidth="1"/>
    <col min="11" max="11" width="10.7109375" hidden="1" customWidth="1"/>
    <col min="12" max="12" width="10.28515625" hidden="1" customWidth="1"/>
    <col min="13" max="13" width="42.7109375" hidden="1" customWidth="1"/>
    <col min="14" max="14" width="9.28515625" customWidth="1"/>
    <col min="15" max="15" width="48.42578125" customWidth="1"/>
    <col min="16" max="16" width="34.28515625" customWidth="1"/>
    <col min="17" max="17" width="10.85546875" customWidth="1"/>
  </cols>
  <sheetData>
    <row r="1" spans="1:42" ht="50.25" customHeight="1">
      <c r="A1" s="136"/>
      <c r="B1" s="135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2" ht="42" customHeight="1">
      <c r="A2" s="136"/>
      <c r="B2" s="135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2" ht="21.75" customHeight="1" thickBot="1">
      <c r="A3" s="136"/>
      <c r="B3" s="135"/>
      <c r="D3" s="130" t="s">
        <v>11</v>
      </c>
      <c r="E3" s="131" t="s">
        <v>23</v>
      </c>
      <c r="F3" s="131"/>
      <c r="G3" s="131"/>
      <c r="H3" s="134" t="s">
        <v>25</v>
      </c>
      <c r="I3" s="132" t="s">
        <v>17</v>
      </c>
      <c r="J3" s="133"/>
      <c r="K3" s="123" t="s">
        <v>18</v>
      </c>
      <c r="L3" s="123" t="s">
        <v>19</v>
      </c>
      <c r="M3" s="123" t="s">
        <v>24</v>
      </c>
      <c r="O3" s="105" t="s">
        <v>20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42" ht="3.75" customHeight="1" thickTop="1">
      <c r="A4" s="136"/>
      <c r="B4" s="135"/>
      <c r="D4" s="146"/>
      <c r="E4" s="129"/>
      <c r="F4" s="129"/>
      <c r="G4" s="129"/>
      <c r="H4" s="146"/>
      <c r="I4" s="146"/>
      <c r="J4" s="146"/>
      <c r="K4" s="129"/>
      <c r="L4" s="129"/>
      <c r="M4" s="129"/>
      <c r="O4" s="146"/>
      <c r="P4" s="146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 ht="21" customHeight="1">
      <c r="A5" s="136"/>
      <c r="B5" s="135"/>
      <c r="D5" s="120">
        <f>'Financial Freedom Calculator'!E12*-1</f>
        <v>-30</v>
      </c>
      <c r="E5" s="121" t="str">
        <f>IF(D5=('Financial Freedom Calculator'!$E$12*-1),"Years Remaining to Save",
IF(D5=0,"Retirement",
""))</f>
        <v>Years Remaining to Save</v>
      </c>
      <c r="F5" s="121" t="str">
        <f t="shared" ref="F5" si="0">IF(E5="","",E5)</f>
        <v>Years Remaining to Save</v>
      </c>
      <c r="G5" s="121">
        <f>D5*-1</f>
        <v>30</v>
      </c>
      <c r="H5" s="126">
        <f>IF(D5=1,future_income,
IF(D5&lt;1,0,
IF(D5&gt;life_span,"",
H3*(1+inflation_rate))))</f>
        <v>0</v>
      </c>
      <c r="I5" s="127">
        <f>current_portf</f>
        <v>100000</v>
      </c>
      <c r="J5" s="124">
        <f>current_portf</f>
        <v>100000</v>
      </c>
      <c r="K5" s="124">
        <f t="shared" ref="K5:K36" si="1">IF(AND(D5&lt;&gt;"",I5&gt;=0),I5,
#N/A)</f>
        <v>100000</v>
      </c>
      <c r="L5" s="125" t="e">
        <f t="shared" ref="L5:L43" si="2">IF(I5&gt;=0,#N/A,I5)</f>
        <v>#N/A</v>
      </c>
      <c r="M5" s="124" t="e">
        <f t="shared" ref="M5:M43" si="3">IF(AND(ISERROR(L4),L5&lt;0),"It looks like you will fall short by "&amp;TEXT(MIN(I:I)*-1,"$##,#00.00"),#N/A)</f>
        <v>#N/A</v>
      </c>
      <c r="N5" s="122"/>
      <c r="O5" s="7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ht="18.75">
      <c r="A6" s="136"/>
      <c r="B6" s="135"/>
      <c r="D6" s="120">
        <f t="shared" ref="D6:D37" si="4">IFERROR(IF(D5+1&lt;=life_span,D5+1,""),"")</f>
        <v>-29</v>
      </c>
      <c r="E6" s="121" t="str">
        <f>IF(D6=('Financial Freedom Calculator'!$E$12*-1),"Years Until Retirement",
IF(D6=0,"Retirement",
""))</f>
        <v/>
      </c>
      <c r="F6" s="121" t="str">
        <f t="shared" ref="F6:F69" si="5">IF(ROW(F6)-4=50,"Retirement","")</f>
        <v/>
      </c>
      <c r="G6" s="121" t="str">
        <f t="shared" ref="G6:G37" si="6">IFERROR(ABS(IF(OR(D6=ROUNDUP($D$5*0.75,0),D6=ROUNDUP($D$5*0.5,0),D6=ROUNDUP($D$5*0.25,0),
D6=0,D6=life_span,D6=ROUNDUP(life_span*0.75,0),D6=ROUNDUP(life_span*0.5,0),D6=ROUNDUP(life_span*0.25,0)),D6,"")),"")</f>
        <v/>
      </c>
      <c r="H6" s="126">
        <f t="shared" ref="H6:H37" si="7">IF(D6=1,future_income,
IF(D6&lt;1,0,
IF(D6&gt;life_span,"",
H5*(1+inflation_rate))))</f>
        <v>0</v>
      </c>
      <c r="I6" s="127">
        <f t="shared" ref="I6:I37" si="8" xml:space="preserve">
IF(AND(D6="",D5&lt;&gt;""),
HYPERLINK("#home","Back to Top"),
IF(IF(AND($D6&lt;=life_span,$D6&lt;&gt;""),($I5-IF($H6="",0,$H6))*(1+return_rate)
+IF($D6&lt;=0,deposits,0),"")&lt;0,$I5-$H6,
IF(AND($D6&lt;=life_span,$D6&lt;&gt;""),($I5-IF($H6="",0,$H6))*(1+return_rate)
+IF($D6&lt;=0,deposits,0),"")))</f>
        <v>112000</v>
      </c>
      <c r="J6" s="124">
        <f t="shared" ref="J6:J37" si="9">IF(AND(D6&lt;=life_span,D6&gt;=-years_left),
IF(D6&gt;0,(J5-H6)*(1+return_rate),
IF(D6&lt;=0,J5*(1+return_rate)+deposits+add_savings,"")),"")</f>
        <v>116140.69315383144</v>
      </c>
      <c r="K6" s="124">
        <f t="shared" si="1"/>
        <v>112000</v>
      </c>
      <c r="L6" s="125" t="e">
        <f t="shared" si="2"/>
        <v>#N/A</v>
      </c>
      <c r="M6" s="124" t="e">
        <f t="shared" si="3"/>
        <v>#N/A</v>
      </c>
      <c r="N6" s="122"/>
      <c r="O6" s="7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ht="18.75">
      <c r="A7" s="136"/>
      <c r="B7" s="135"/>
      <c r="D7" s="120">
        <f t="shared" si="4"/>
        <v>-28</v>
      </c>
      <c r="E7" s="121" t="str">
        <f>IF(D7=('Financial Freedom Calculator'!$E$12*-1),"Years Until Retirement",
IF(D7=0,"Retirement",
""))</f>
        <v/>
      </c>
      <c r="F7" s="121" t="str">
        <f t="shared" si="5"/>
        <v/>
      </c>
      <c r="G7" s="121" t="str">
        <f t="shared" si="6"/>
        <v/>
      </c>
      <c r="H7" s="126">
        <f t="shared" si="7"/>
        <v>0</v>
      </c>
      <c r="I7" s="127">
        <f t="shared" si="8"/>
        <v>124840</v>
      </c>
      <c r="J7" s="124">
        <f t="shared" si="9"/>
        <v>133411.2348284311</v>
      </c>
      <c r="K7" s="124">
        <f t="shared" si="1"/>
        <v>124840</v>
      </c>
      <c r="L7" s="125" t="e">
        <f t="shared" si="2"/>
        <v>#N/A</v>
      </c>
      <c r="M7" s="124" t="e">
        <f t="shared" si="3"/>
        <v>#N/A</v>
      </c>
      <c r="N7" s="122"/>
      <c r="O7" s="7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ht="18.75">
      <c r="A8" s="136"/>
      <c r="B8" s="135"/>
      <c r="D8" s="120">
        <f t="shared" si="4"/>
        <v>-27</v>
      </c>
      <c r="E8" s="121" t="str">
        <f>IF(D8=('Financial Freedom Calculator'!$E$12*-1),"Years Until Retirement",
IF(D8=0,"Retirement",
""))</f>
        <v/>
      </c>
      <c r="F8" s="121" t="str">
        <f t="shared" si="5"/>
        <v/>
      </c>
      <c r="G8" s="121" t="str">
        <f t="shared" si="6"/>
        <v/>
      </c>
      <c r="H8" s="126">
        <f t="shared" si="7"/>
        <v>0</v>
      </c>
      <c r="I8" s="127">
        <f t="shared" si="8"/>
        <v>138578.80000000002</v>
      </c>
      <c r="J8" s="124">
        <f t="shared" si="9"/>
        <v>151890.71442025271</v>
      </c>
      <c r="K8" s="124">
        <f t="shared" si="1"/>
        <v>138578.80000000002</v>
      </c>
      <c r="L8" s="125" t="e">
        <f t="shared" si="2"/>
        <v>#N/A</v>
      </c>
      <c r="M8" s="124" t="e">
        <f t="shared" si="3"/>
        <v>#N/A</v>
      </c>
      <c r="N8" s="122"/>
      <c r="O8" s="7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ht="18.75">
      <c r="A9" s="136"/>
      <c r="B9" s="135"/>
      <c r="D9" s="120">
        <f t="shared" si="4"/>
        <v>-26</v>
      </c>
      <c r="E9" s="121" t="str">
        <f>IF(D9=('Financial Freedom Calculator'!$E$12*-1),"Years Until Retirement",
IF(D9=0,"Retirement",
""))</f>
        <v/>
      </c>
      <c r="F9" s="121" t="str">
        <f t="shared" si="5"/>
        <v/>
      </c>
      <c r="G9" s="121" t="str">
        <f t="shared" si="6"/>
        <v/>
      </c>
      <c r="H9" s="126">
        <f t="shared" si="7"/>
        <v>0</v>
      </c>
      <c r="I9" s="127">
        <f t="shared" si="8"/>
        <v>153279.31600000002</v>
      </c>
      <c r="J9" s="124">
        <f t="shared" si="9"/>
        <v>171663.75758350184</v>
      </c>
      <c r="K9" s="124">
        <f t="shared" si="1"/>
        <v>153279.31600000002</v>
      </c>
      <c r="L9" s="125" t="e">
        <f t="shared" si="2"/>
        <v>#N/A</v>
      </c>
      <c r="M9" s="124" t="e">
        <f t="shared" si="3"/>
        <v>#N/A</v>
      </c>
      <c r="N9" s="122"/>
      <c r="O9" s="7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 ht="18.75">
      <c r="A10" s="136"/>
      <c r="B10" s="135"/>
      <c r="D10" s="120">
        <f t="shared" si="4"/>
        <v>-25</v>
      </c>
      <c r="E10" s="121" t="str">
        <f>IF(D10=('Financial Freedom Calculator'!$E$12*-1),"Years Until Retirement",
IF(D10=0,"Retirement",
""))</f>
        <v/>
      </c>
      <c r="F10" s="121" t="str">
        <f t="shared" si="5"/>
        <v/>
      </c>
      <c r="G10" s="121" t="str">
        <f t="shared" si="6"/>
        <v/>
      </c>
      <c r="H10" s="126">
        <f t="shared" si="7"/>
        <v>0</v>
      </c>
      <c r="I10" s="127">
        <f t="shared" si="8"/>
        <v>169008.86812000003</v>
      </c>
      <c r="J10" s="124">
        <f t="shared" si="9"/>
        <v>192820.91376817841</v>
      </c>
      <c r="K10" s="124">
        <f t="shared" si="1"/>
        <v>169008.86812000003</v>
      </c>
      <c r="L10" s="125" t="e">
        <f t="shared" si="2"/>
        <v>#N/A</v>
      </c>
      <c r="M10" s="124" t="e">
        <f t="shared" si="3"/>
        <v>#N/A</v>
      </c>
      <c r="N10" s="122"/>
      <c r="O10" s="7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 ht="18.75">
      <c r="A11" s="136"/>
      <c r="B11" s="135"/>
      <c r="D11" s="120">
        <f t="shared" si="4"/>
        <v>-24</v>
      </c>
      <c r="E11" s="121" t="str">
        <f>IF(D11=('Financial Freedom Calculator'!$E$12*-1),"Years Until Retirement",
IF(D11=0,"Retirement",
""))</f>
        <v/>
      </c>
      <c r="F11" s="121" t="str">
        <f t="shared" si="5"/>
        <v/>
      </c>
      <c r="G11" s="121" t="str">
        <f t="shared" si="6"/>
        <v/>
      </c>
      <c r="H11" s="126">
        <f t="shared" si="7"/>
        <v>0</v>
      </c>
      <c r="I11" s="127">
        <f t="shared" si="8"/>
        <v>185839.48888840005</v>
      </c>
      <c r="J11" s="124">
        <f t="shared" si="9"/>
        <v>215459.07088578233</v>
      </c>
      <c r="K11" s="124">
        <f t="shared" si="1"/>
        <v>185839.48888840005</v>
      </c>
      <c r="L11" s="125" t="e">
        <f t="shared" si="2"/>
        <v>#N/A</v>
      </c>
      <c r="M11" s="124" t="e">
        <f t="shared" si="3"/>
        <v>#N/A</v>
      </c>
      <c r="N11" s="122"/>
      <c r="O11" s="7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spans="1:42" ht="18.75">
      <c r="A12" s="136"/>
      <c r="B12" s="135"/>
      <c r="D12" s="120">
        <f t="shared" si="4"/>
        <v>-23</v>
      </c>
      <c r="E12" s="121" t="str">
        <f>IF(D12=('Financial Freedom Calculator'!$E$12*-1),"Years Until Retirement",
IF(D12=0,"Retirement",
""))</f>
        <v/>
      </c>
      <c r="F12" s="121" t="str">
        <f t="shared" si="5"/>
        <v/>
      </c>
      <c r="G12" s="121">
        <f t="shared" si="6"/>
        <v>23</v>
      </c>
      <c r="H12" s="126">
        <f t="shared" si="7"/>
        <v>0</v>
      </c>
      <c r="I12" s="127">
        <f t="shared" si="8"/>
        <v>203848.25311058806</v>
      </c>
      <c r="J12" s="124">
        <f t="shared" si="9"/>
        <v>239681.89900161856</v>
      </c>
      <c r="K12" s="124">
        <f t="shared" si="1"/>
        <v>203848.25311058806</v>
      </c>
      <c r="L12" s="125" t="e">
        <f t="shared" si="2"/>
        <v>#N/A</v>
      </c>
      <c r="M12" s="124" t="e">
        <f t="shared" si="3"/>
        <v>#N/A</v>
      </c>
      <c r="N12" s="122"/>
      <c r="O12" s="7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1:42" ht="18.75">
      <c r="A13" s="136"/>
      <c r="B13" s="135"/>
      <c r="D13" s="120">
        <f t="shared" si="4"/>
        <v>-22</v>
      </c>
      <c r="E13" s="121" t="str">
        <f>IF(D13=('Financial Freedom Calculator'!$E$12*-1),"Years Until Retirement",
IF(D13=0,"Retirement",
""))</f>
        <v/>
      </c>
      <c r="F13" s="121" t="str">
        <f t="shared" si="5"/>
        <v/>
      </c>
      <c r="G13" s="121" t="str">
        <f t="shared" si="6"/>
        <v/>
      </c>
      <c r="H13" s="126">
        <f t="shared" si="7"/>
        <v>0</v>
      </c>
      <c r="I13" s="127">
        <f t="shared" si="8"/>
        <v>223117.63082832925</v>
      </c>
      <c r="J13" s="124">
        <f t="shared" si="9"/>
        <v>265600.32508556329</v>
      </c>
      <c r="K13" s="124">
        <f t="shared" si="1"/>
        <v>223117.63082832925</v>
      </c>
      <c r="L13" s="125" t="e">
        <f t="shared" si="2"/>
        <v>#N/A</v>
      </c>
      <c r="M13" s="124" t="e">
        <f t="shared" si="3"/>
        <v>#N/A</v>
      </c>
      <c r="N13" s="122"/>
      <c r="O13" s="7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ht="18.75">
      <c r="A14" s="136"/>
      <c r="B14" s="135"/>
      <c r="D14" s="120">
        <f t="shared" si="4"/>
        <v>-21</v>
      </c>
      <c r="E14" s="121" t="str">
        <f>IF(D14=('Financial Freedom Calculator'!$E$12*-1),"Years Until Retirement",
IF(D14=0,"Retirement",
""))</f>
        <v/>
      </c>
      <c r="F14" s="121" t="str">
        <f t="shared" si="5"/>
        <v/>
      </c>
      <c r="G14" s="121" t="str">
        <f t="shared" si="6"/>
        <v/>
      </c>
      <c r="H14" s="126">
        <f t="shared" si="7"/>
        <v>0</v>
      </c>
      <c r="I14" s="127">
        <f t="shared" si="8"/>
        <v>243735.86498631231</v>
      </c>
      <c r="J14" s="124">
        <f t="shared" si="9"/>
        <v>293333.04099538422</v>
      </c>
      <c r="K14" s="124">
        <f t="shared" si="1"/>
        <v>243735.86498631231</v>
      </c>
      <c r="L14" s="125" t="e">
        <f t="shared" si="2"/>
        <v>#N/A</v>
      </c>
      <c r="M14" s="124" t="e">
        <f t="shared" si="3"/>
        <v>#N/A</v>
      </c>
      <c r="N14" s="122"/>
      <c r="O14" s="7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5" spans="1:42" ht="18.75">
      <c r="A15" s="136"/>
      <c r="B15" s="135"/>
      <c r="D15" s="120">
        <f t="shared" si="4"/>
        <v>-20</v>
      </c>
      <c r="E15" s="121" t="str">
        <f>IF(D15=('Financial Freedom Calculator'!$E$12*-1),"Years Until Retirement",
IF(D15=0,"Retirement",
""))</f>
        <v/>
      </c>
      <c r="F15" s="121" t="str">
        <f t="shared" si="5"/>
        <v/>
      </c>
      <c r="G15" s="121" t="str">
        <f t="shared" si="6"/>
        <v/>
      </c>
      <c r="H15" s="126">
        <f t="shared" si="7"/>
        <v>0</v>
      </c>
      <c r="I15" s="127">
        <f t="shared" si="8"/>
        <v>265797.37553535419</v>
      </c>
      <c r="J15" s="124">
        <f t="shared" si="9"/>
        <v>323007.0470188926</v>
      </c>
      <c r="K15" s="124">
        <f t="shared" si="1"/>
        <v>265797.37553535419</v>
      </c>
      <c r="L15" s="125" t="e">
        <f t="shared" si="2"/>
        <v>#N/A</v>
      </c>
      <c r="M15" s="124" t="e">
        <f t="shared" si="3"/>
        <v>#N/A</v>
      </c>
      <c r="N15" s="122"/>
      <c r="O15" s="7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</row>
    <row r="16" spans="1:42" ht="18.75">
      <c r="A16" s="136"/>
      <c r="B16" s="135"/>
      <c r="D16" s="120">
        <f t="shared" si="4"/>
        <v>-19</v>
      </c>
      <c r="E16" s="121" t="str">
        <f>IF(D16=('Financial Freedom Calculator'!$E$12*-1),"Years Until Retirement",
IF(D16=0,"Retirement",
""))</f>
        <v/>
      </c>
      <c r="F16" s="121" t="str">
        <f t="shared" si="5"/>
        <v/>
      </c>
      <c r="G16" s="121" t="str">
        <f t="shared" si="6"/>
        <v/>
      </c>
      <c r="H16" s="126">
        <f t="shared" si="7"/>
        <v>0</v>
      </c>
      <c r="I16" s="127">
        <f t="shared" si="8"/>
        <v>289403.19182282902</v>
      </c>
      <c r="J16" s="124">
        <f t="shared" si="9"/>
        <v>354758.23346404656</v>
      </c>
      <c r="K16" s="124">
        <f t="shared" si="1"/>
        <v>289403.19182282902</v>
      </c>
      <c r="L16" s="125" t="e">
        <f t="shared" si="2"/>
        <v>#N/A</v>
      </c>
      <c r="M16" s="124" t="e">
        <f t="shared" si="3"/>
        <v>#N/A</v>
      </c>
      <c r="N16" s="122"/>
      <c r="O16" s="7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ht="18.75">
      <c r="A17" s="136"/>
      <c r="B17" s="135"/>
      <c r="D17" s="120">
        <f t="shared" si="4"/>
        <v>-18</v>
      </c>
      <c r="E17" s="121" t="str">
        <f>IF(D17=('Financial Freedom Calculator'!$E$12*-1),"Years Until Retirement",
IF(D17=0,"Retirement",
""))</f>
        <v/>
      </c>
      <c r="F17" s="121" t="str">
        <f t="shared" si="5"/>
        <v/>
      </c>
      <c r="G17" s="121" t="str">
        <f t="shared" si="6"/>
        <v/>
      </c>
      <c r="H17" s="126">
        <f t="shared" si="7"/>
        <v>0</v>
      </c>
      <c r="I17" s="127">
        <f t="shared" si="8"/>
        <v>314661.41525042709</v>
      </c>
      <c r="J17" s="124">
        <f t="shared" si="9"/>
        <v>388732.00296036131</v>
      </c>
      <c r="K17" s="124">
        <f t="shared" si="1"/>
        <v>314661.41525042709</v>
      </c>
      <c r="L17" s="125" t="e">
        <f t="shared" si="2"/>
        <v>#N/A</v>
      </c>
      <c r="M17" s="124" t="e">
        <f t="shared" si="3"/>
        <v>#N/A</v>
      </c>
      <c r="N17" s="122"/>
      <c r="O17" s="7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ht="18.75">
      <c r="A18" s="136"/>
      <c r="B18" s="135"/>
      <c r="D18" s="120">
        <f t="shared" si="4"/>
        <v>-17</v>
      </c>
      <c r="E18" s="121" t="str">
        <f>IF(D18=('Financial Freedom Calculator'!$E$12*-1),"Years Until Retirement",
IF(D18=0,"Retirement",
""))</f>
        <v/>
      </c>
      <c r="F18" s="121" t="str">
        <f t="shared" si="5"/>
        <v/>
      </c>
      <c r="G18" s="121" t="str">
        <f t="shared" si="6"/>
        <v/>
      </c>
      <c r="H18" s="126">
        <f t="shared" si="7"/>
        <v>0</v>
      </c>
      <c r="I18" s="127">
        <f t="shared" si="8"/>
        <v>341687.714317957</v>
      </c>
      <c r="J18" s="124">
        <f t="shared" si="9"/>
        <v>425083.93632141809</v>
      </c>
      <c r="K18" s="124">
        <f t="shared" si="1"/>
        <v>341687.714317957</v>
      </c>
      <c r="L18" s="125" t="e">
        <f t="shared" si="2"/>
        <v>#N/A</v>
      </c>
      <c r="M18" s="124" t="e">
        <f t="shared" si="3"/>
        <v>#N/A</v>
      </c>
      <c r="N18" s="122"/>
      <c r="O18" s="7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</row>
    <row r="19" spans="1:42" ht="18.75">
      <c r="A19" s="136"/>
      <c r="B19" s="135"/>
      <c r="D19" s="120">
        <f t="shared" si="4"/>
        <v>-16</v>
      </c>
      <c r="E19" s="121" t="str">
        <f>IF(D19=('Financial Freedom Calculator'!$E$12*-1),"Years Until Retirement",
IF(D19=0,"Retirement",
""))</f>
        <v/>
      </c>
      <c r="F19" s="121" t="str">
        <f t="shared" si="5"/>
        <v/>
      </c>
      <c r="G19" s="121" t="str">
        <f t="shared" si="6"/>
        <v/>
      </c>
      <c r="H19" s="126">
        <f t="shared" si="7"/>
        <v>0</v>
      </c>
      <c r="I19" s="127">
        <f t="shared" si="8"/>
        <v>370605.85432021401</v>
      </c>
      <c r="J19" s="124">
        <f t="shared" si="9"/>
        <v>463980.50501774886</v>
      </c>
      <c r="K19" s="124">
        <f t="shared" si="1"/>
        <v>370605.85432021401</v>
      </c>
      <c r="L19" s="125" t="e">
        <f t="shared" si="2"/>
        <v>#N/A</v>
      </c>
      <c r="M19" s="124" t="e">
        <f t="shared" si="3"/>
        <v>#N/A</v>
      </c>
      <c r="N19" s="122"/>
      <c r="O19" s="7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</row>
    <row r="20" spans="1:42" ht="18.75">
      <c r="A20" s="136"/>
      <c r="B20" s="135"/>
      <c r="D20" s="120">
        <f t="shared" si="4"/>
        <v>-15</v>
      </c>
      <c r="E20" s="121" t="str">
        <f>IF(D20=('Financial Freedom Calculator'!$E$12*-1),"Years Until Retirement",
IF(D20=0,"Retirement",
""))</f>
        <v/>
      </c>
      <c r="F20" s="121" t="str">
        <f t="shared" si="5"/>
        <v/>
      </c>
      <c r="G20" s="121">
        <f t="shared" si="6"/>
        <v>15</v>
      </c>
      <c r="H20" s="126">
        <f t="shared" si="7"/>
        <v>0</v>
      </c>
      <c r="I20" s="127">
        <f t="shared" si="8"/>
        <v>401548.26412262901</v>
      </c>
      <c r="J20" s="124">
        <f t="shared" si="9"/>
        <v>505599.83352282277</v>
      </c>
      <c r="K20" s="124">
        <f t="shared" si="1"/>
        <v>401548.26412262901</v>
      </c>
      <c r="L20" s="125" t="e">
        <f t="shared" si="2"/>
        <v>#N/A</v>
      </c>
      <c r="M20" s="124" t="e">
        <f t="shared" si="3"/>
        <v>#N/A</v>
      </c>
      <c r="N20" s="122"/>
      <c r="O20" s="7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</row>
    <row r="21" spans="1:42" ht="18.75">
      <c r="A21" s="136"/>
      <c r="B21" s="135"/>
      <c r="D21" s="120">
        <f t="shared" si="4"/>
        <v>-14</v>
      </c>
      <c r="E21" s="121" t="str">
        <f>IF(D21=('Financial Freedom Calculator'!$E$12*-1),"Years Until Retirement",
IF(D21=0,"Retirement",
""))</f>
        <v/>
      </c>
      <c r="F21" s="121" t="str">
        <f t="shared" si="5"/>
        <v/>
      </c>
      <c r="G21" s="121" t="str">
        <f t="shared" si="6"/>
        <v/>
      </c>
      <c r="H21" s="126">
        <f t="shared" si="7"/>
        <v>0</v>
      </c>
      <c r="I21" s="127">
        <f t="shared" si="8"/>
        <v>434656.64261121309</v>
      </c>
      <c r="J21" s="124">
        <f t="shared" si="9"/>
        <v>550132.51502325176</v>
      </c>
      <c r="K21" s="124">
        <f t="shared" si="1"/>
        <v>434656.64261121309</v>
      </c>
      <c r="L21" s="125" t="e">
        <f t="shared" si="2"/>
        <v>#N/A</v>
      </c>
      <c r="M21" s="124" t="e">
        <f t="shared" si="3"/>
        <v>#N/A</v>
      </c>
      <c r="N21" s="122"/>
      <c r="O21" s="7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</row>
    <row r="22" spans="1:42" ht="18.75">
      <c r="A22" s="136"/>
      <c r="B22" s="135"/>
      <c r="D22" s="120">
        <f t="shared" si="4"/>
        <v>-13</v>
      </c>
      <c r="E22" s="121" t="str">
        <f>IF(D22=('Financial Freedom Calculator'!$E$12*-1),"Years Until Retirement",
IF(D22=0,"Retirement",
""))</f>
        <v/>
      </c>
      <c r="F22" s="121" t="str">
        <f t="shared" si="5"/>
        <v/>
      </c>
      <c r="G22" s="121" t="str">
        <f t="shared" si="6"/>
        <v/>
      </c>
      <c r="H22" s="126">
        <f t="shared" si="7"/>
        <v>0</v>
      </c>
      <c r="I22" s="127">
        <f t="shared" si="8"/>
        <v>470082.60759399802</v>
      </c>
      <c r="J22" s="124">
        <f t="shared" si="9"/>
        <v>597782.48422871088</v>
      </c>
      <c r="K22" s="124">
        <f t="shared" si="1"/>
        <v>470082.60759399802</v>
      </c>
      <c r="L22" s="125" t="e">
        <f t="shared" si="2"/>
        <v>#N/A</v>
      </c>
      <c r="M22" s="124" t="e">
        <f t="shared" si="3"/>
        <v>#N/A</v>
      </c>
      <c r="N22" s="122"/>
      <c r="O22" s="7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</row>
    <row r="23" spans="1:42" ht="18.75">
      <c r="A23" s="136"/>
      <c r="B23" s="135"/>
      <c r="D23" s="120">
        <f t="shared" si="4"/>
        <v>-12</v>
      </c>
      <c r="E23" s="121" t="str">
        <f>IF(D23=('Financial Freedom Calculator'!$E$12*-1),"Years Until Retirement",
IF(D23=0,"Retirement",
""))</f>
        <v/>
      </c>
      <c r="F23" s="121" t="str">
        <f t="shared" si="5"/>
        <v/>
      </c>
      <c r="G23" s="121" t="str">
        <f t="shared" si="6"/>
        <v/>
      </c>
      <c r="H23" s="126">
        <f t="shared" si="7"/>
        <v>0</v>
      </c>
      <c r="I23" s="127">
        <f t="shared" si="8"/>
        <v>507988.39012557792</v>
      </c>
      <c r="J23" s="124">
        <f t="shared" si="9"/>
        <v>648767.95127855206</v>
      </c>
      <c r="K23" s="124">
        <f t="shared" si="1"/>
        <v>507988.39012557792</v>
      </c>
      <c r="L23" s="125" t="e">
        <f t="shared" si="2"/>
        <v>#N/A</v>
      </c>
      <c r="M23" s="124" t="e">
        <f t="shared" si="3"/>
        <v>#N/A</v>
      </c>
      <c r="N23" s="122"/>
      <c r="O23" s="96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ht="18.75">
      <c r="A24" s="136"/>
      <c r="B24" s="135"/>
      <c r="D24" s="120">
        <f t="shared" si="4"/>
        <v>-11</v>
      </c>
      <c r="E24" s="121" t="str">
        <f>IF(D24=('Financial Freedom Calculator'!$E$12*-1),"Years Until Retirement",
IF(D24=0,"Retirement",
""))</f>
        <v/>
      </c>
      <c r="F24" s="121" t="str">
        <f t="shared" si="5"/>
        <v/>
      </c>
      <c r="G24" s="121" t="str">
        <f t="shared" si="6"/>
        <v/>
      </c>
      <c r="H24" s="126">
        <f t="shared" si="7"/>
        <v>0</v>
      </c>
      <c r="I24" s="127">
        <f t="shared" si="8"/>
        <v>548547.57743436843</v>
      </c>
      <c r="J24" s="124">
        <f t="shared" si="9"/>
        <v>703322.40102188219</v>
      </c>
      <c r="K24" s="124">
        <f t="shared" si="1"/>
        <v>548547.57743436843</v>
      </c>
      <c r="L24" s="125" t="e">
        <f t="shared" si="2"/>
        <v>#N/A</v>
      </c>
      <c r="M24" s="124" t="e">
        <f t="shared" si="3"/>
        <v>#N/A</v>
      </c>
      <c r="N24" s="122"/>
      <c r="O24" s="96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18.75">
      <c r="A25" s="136"/>
      <c r="B25" s="135"/>
      <c r="D25" s="120">
        <f t="shared" si="4"/>
        <v>-10</v>
      </c>
      <c r="E25" s="121" t="str">
        <f>IF(D25=('Financial Freedom Calculator'!$E$12*-1),"Years Until Retirement",
IF(D25=0,"Retirement",
""))</f>
        <v/>
      </c>
      <c r="F25" s="121" t="str">
        <f t="shared" si="5"/>
        <v/>
      </c>
      <c r="G25" s="121" t="str">
        <f t="shared" si="6"/>
        <v/>
      </c>
      <c r="H25" s="126">
        <f t="shared" si="7"/>
        <v>0</v>
      </c>
      <c r="I25" s="127">
        <f t="shared" si="8"/>
        <v>591945.90785477427</v>
      </c>
      <c r="J25" s="124">
        <f t="shared" si="9"/>
        <v>761695.66224724543</v>
      </c>
      <c r="K25" s="124">
        <f t="shared" si="1"/>
        <v>591945.90785477427</v>
      </c>
      <c r="L25" s="125" t="e">
        <f t="shared" si="2"/>
        <v>#N/A</v>
      </c>
      <c r="M25" s="124" t="e">
        <f t="shared" si="3"/>
        <v>#N/A</v>
      </c>
      <c r="N25" s="122"/>
      <c r="O25" s="7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</row>
    <row r="26" spans="1:42" ht="18.75">
      <c r="A26" s="136"/>
      <c r="B26" s="135"/>
      <c r="D26" s="120">
        <f t="shared" si="4"/>
        <v>-9</v>
      </c>
      <c r="E26" s="121" t="str">
        <f>IF(D26=('Financial Freedom Calculator'!$E$12*-1),"Years Until Retirement",
IF(D26=0,"Retirement",
""))</f>
        <v/>
      </c>
      <c r="F26" s="121" t="str">
        <f t="shared" si="5"/>
        <v/>
      </c>
      <c r="G26" s="121" t="str">
        <f t="shared" si="6"/>
        <v/>
      </c>
      <c r="H26" s="126">
        <f t="shared" si="7"/>
        <v>0</v>
      </c>
      <c r="I26" s="127">
        <f t="shared" si="8"/>
        <v>638382.12140460848</v>
      </c>
      <c r="J26" s="124">
        <f t="shared" si="9"/>
        <v>824155.0517583841</v>
      </c>
      <c r="K26" s="124">
        <f t="shared" si="1"/>
        <v>638382.12140460848</v>
      </c>
      <c r="L26" s="125" t="e">
        <f t="shared" si="2"/>
        <v>#N/A</v>
      </c>
      <c r="M26" s="124" t="e">
        <f t="shared" si="3"/>
        <v>#N/A</v>
      </c>
      <c r="N26" s="122"/>
      <c r="O26" s="7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2" ht="18.75">
      <c r="A27" s="136"/>
      <c r="B27" s="135"/>
      <c r="D27" s="120">
        <f t="shared" si="4"/>
        <v>-8</v>
      </c>
      <c r="E27" s="121" t="str">
        <f>IF(D27=('Financial Freedom Calculator'!$E$12*-1),"Years Until Retirement",
IF(D27=0,"Retirement",
""))</f>
        <v/>
      </c>
      <c r="F27" s="121" t="str">
        <f t="shared" si="5"/>
        <v/>
      </c>
      <c r="G27" s="121">
        <f t="shared" si="6"/>
        <v>8</v>
      </c>
      <c r="H27" s="126">
        <f t="shared" si="7"/>
        <v>0</v>
      </c>
      <c r="I27" s="127">
        <f t="shared" si="8"/>
        <v>688068.86990293115</v>
      </c>
      <c r="J27" s="124">
        <f t="shared" si="9"/>
        <v>890986.59853530244</v>
      </c>
      <c r="K27" s="124">
        <f t="shared" si="1"/>
        <v>688068.86990293115</v>
      </c>
      <c r="L27" s="125" t="e">
        <f t="shared" si="2"/>
        <v>#N/A</v>
      </c>
      <c r="M27" s="124" t="e">
        <f t="shared" si="3"/>
        <v>#N/A</v>
      </c>
      <c r="N27" s="122"/>
      <c r="O27" s="7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ht="18.75">
      <c r="A28" s="136"/>
      <c r="B28" s="135"/>
      <c r="D28" s="120">
        <f t="shared" si="4"/>
        <v>-7</v>
      </c>
      <c r="E28" s="121" t="str">
        <f>IF(D28=('Financial Freedom Calculator'!$E$12*-1),"Years Until Retirement",
IF(D28=0,"Retirement",
""))</f>
        <v/>
      </c>
      <c r="F28" s="121" t="str">
        <f t="shared" si="5"/>
        <v/>
      </c>
      <c r="G28" s="121" t="str">
        <f t="shared" si="6"/>
        <v/>
      </c>
      <c r="H28" s="126">
        <f t="shared" si="7"/>
        <v>0</v>
      </c>
      <c r="I28" s="127">
        <f t="shared" si="8"/>
        <v>741233.69079613639</v>
      </c>
      <c r="J28" s="124">
        <f t="shared" si="9"/>
        <v>962496.35358660505</v>
      </c>
      <c r="K28" s="124">
        <f t="shared" si="1"/>
        <v>741233.69079613639</v>
      </c>
      <c r="L28" s="125" t="e">
        <f t="shared" si="2"/>
        <v>#N/A</v>
      </c>
      <c r="M28" s="124" t="e">
        <f t="shared" si="3"/>
        <v>#N/A</v>
      </c>
      <c r="N28" s="122"/>
      <c r="O28" s="7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2" ht="18.75">
      <c r="A29" s="136"/>
      <c r="B29" s="135"/>
      <c r="D29" s="120">
        <f t="shared" si="4"/>
        <v>-6</v>
      </c>
      <c r="E29" s="121" t="str">
        <f>IF(D29=('Financial Freedom Calculator'!$E$12*-1),"Years Until Retirement",
IF(D29=0,"Retirement",
""))</f>
        <v/>
      </c>
      <c r="F29" s="121" t="str">
        <f t="shared" si="5"/>
        <v/>
      </c>
      <c r="G29" s="121" t="str">
        <f t="shared" si="6"/>
        <v/>
      </c>
      <c r="H29" s="126">
        <f t="shared" si="7"/>
        <v>0</v>
      </c>
      <c r="I29" s="127">
        <f t="shared" si="8"/>
        <v>798120.049151866</v>
      </c>
      <c r="J29" s="124">
        <f t="shared" si="9"/>
        <v>1039011.7914914988</v>
      </c>
      <c r="K29" s="124">
        <f t="shared" si="1"/>
        <v>798120.049151866</v>
      </c>
      <c r="L29" s="125" t="e">
        <f t="shared" si="2"/>
        <v>#N/A</v>
      </c>
      <c r="M29" s="124" t="e">
        <f t="shared" si="3"/>
        <v>#N/A</v>
      </c>
      <c r="N29" s="122"/>
      <c r="O29" s="96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</row>
    <row r="30" spans="1:42" ht="18.75">
      <c r="A30" s="136"/>
      <c r="B30" s="135"/>
      <c r="D30" s="120">
        <f t="shared" si="4"/>
        <v>-5</v>
      </c>
      <c r="E30" s="121" t="str">
        <f>IF(D30=('Financial Freedom Calculator'!$E$12*-1),"Years Until Retirement",
IF(D30=0,"Retirement",
""))</f>
        <v/>
      </c>
      <c r="F30" s="121" t="str">
        <f t="shared" si="5"/>
        <v/>
      </c>
      <c r="G30" s="121" t="str">
        <f t="shared" si="6"/>
        <v/>
      </c>
      <c r="H30" s="126">
        <f t="shared" si="7"/>
        <v>0</v>
      </c>
      <c r="I30" s="127">
        <f t="shared" si="8"/>
        <v>858988.45259249664</v>
      </c>
      <c r="J30" s="124">
        <f t="shared" si="9"/>
        <v>1120883.3100497352</v>
      </c>
      <c r="K30" s="124">
        <f t="shared" si="1"/>
        <v>858988.45259249664</v>
      </c>
      <c r="L30" s="125" t="e">
        <f t="shared" si="2"/>
        <v>#N/A</v>
      </c>
      <c r="M30" s="124" t="e">
        <f t="shared" si="3"/>
        <v>#N/A</v>
      </c>
      <c r="N30" s="122"/>
      <c r="O30" s="7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ht="18.75">
      <c r="A31" s="136"/>
      <c r="B31" s="135"/>
      <c r="D31" s="120">
        <f t="shared" si="4"/>
        <v>-4</v>
      </c>
      <c r="E31" s="121" t="str">
        <f>IF(D31=('Financial Freedom Calculator'!$E$12*-1),"Years Until Retirement",
IF(D31=0,"Retirement",
""))</f>
        <v/>
      </c>
      <c r="F31" s="121" t="str">
        <f t="shared" si="5"/>
        <v/>
      </c>
      <c r="G31" s="121" t="str">
        <f t="shared" si="6"/>
        <v/>
      </c>
      <c r="H31" s="126">
        <f t="shared" si="7"/>
        <v>0</v>
      </c>
      <c r="I31" s="127">
        <f t="shared" si="8"/>
        <v>924117.64427397144</v>
      </c>
      <c r="J31" s="124">
        <f t="shared" si="9"/>
        <v>1208485.8349070481</v>
      </c>
      <c r="K31" s="124">
        <f t="shared" si="1"/>
        <v>924117.64427397144</v>
      </c>
      <c r="L31" s="125" t="e">
        <f t="shared" si="2"/>
        <v>#N/A</v>
      </c>
      <c r="M31" s="124" t="e">
        <f t="shared" si="3"/>
        <v>#N/A</v>
      </c>
      <c r="N31" s="122"/>
      <c r="O31" s="7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2" ht="18.75">
      <c r="A32" s="136"/>
      <c r="B32" s="135"/>
      <c r="D32" s="120">
        <f t="shared" si="4"/>
        <v>-3</v>
      </c>
      <c r="E32" s="121" t="str">
        <f>IF(D32=('Financial Freedom Calculator'!$E$12*-1),"Years Until Retirement",
IF(D32=0,"Retirement",
""))</f>
        <v/>
      </c>
      <c r="F32" s="121" t="str">
        <f t="shared" si="5"/>
        <v/>
      </c>
      <c r="G32" s="121" t="str">
        <f t="shared" si="6"/>
        <v/>
      </c>
      <c r="H32" s="126">
        <f t="shared" si="7"/>
        <v>0</v>
      </c>
      <c r="I32" s="127">
        <f t="shared" si="8"/>
        <v>993805.87937314948</v>
      </c>
      <c r="J32" s="124">
        <f t="shared" si="9"/>
        <v>1302220.536504373</v>
      </c>
      <c r="K32" s="124">
        <f t="shared" si="1"/>
        <v>993805.87937314948</v>
      </c>
      <c r="L32" s="125" t="e">
        <f t="shared" si="2"/>
        <v>#N/A</v>
      </c>
      <c r="M32" s="124" t="e">
        <f t="shared" si="3"/>
        <v>#N/A</v>
      </c>
      <c r="N32" s="122"/>
      <c r="O32" s="7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</row>
    <row r="33" spans="1:42" ht="18.75">
      <c r="A33" s="136"/>
      <c r="B33" s="135"/>
      <c r="D33" s="120">
        <f t="shared" si="4"/>
        <v>-2</v>
      </c>
      <c r="E33" s="121" t="str">
        <f>IF(D33=('Financial Freedom Calculator'!$E$12*-1),"Years Until Retirement",
IF(D33=0,"Retirement",
""))</f>
        <v/>
      </c>
      <c r="F33" s="121" t="str">
        <f t="shared" si="5"/>
        <v/>
      </c>
      <c r="G33" s="121" t="str">
        <f t="shared" si="6"/>
        <v/>
      </c>
      <c r="H33" s="126">
        <f t="shared" si="7"/>
        <v>0</v>
      </c>
      <c r="I33" s="127">
        <f t="shared" si="8"/>
        <v>1068372.29092927</v>
      </c>
      <c r="J33" s="124">
        <f t="shared" si="9"/>
        <v>1402516.6672135105</v>
      </c>
      <c r="K33" s="124">
        <f t="shared" si="1"/>
        <v>1068372.29092927</v>
      </c>
      <c r="L33" s="125" t="e">
        <f t="shared" si="2"/>
        <v>#N/A</v>
      </c>
      <c r="M33" s="124" t="e">
        <f t="shared" si="3"/>
        <v>#N/A</v>
      </c>
      <c r="N33" s="122"/>
      <c r="O33" s="7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</row>
    <row r="34" spans="1:42" ht="18.75">
      <c r="A34" s="136"/>
      <c r="B34" s="135"/>
      <c r="D34" s="120">
        <f t="shared" si="4"/>
        <v>-1</v>
      </c>
      <c r="E34" s="121" t="str">
        <f>IF(D34=('Financial Freedom Calculator'!$E$12*-1),"Years Until Retirement",
IF(D34=0,"Retirement",
""))</f>
        <v/>
      </c>
      <c r="F34" s="121" t="str">
        <f t="shared" si="5"/>
        <v/>
      </c>
      <c r="G34" s="121" t="str">
        <f t="shared" si="6"/>
        <v/>
      </c>
      <c r="H34" s="126">
        <f t="shared" si="7"/>
        <v>0</v>
      </c>
      <c r="I34" s="127">
        <f t="shared" si="8"/>
        <v>1148158.3512943189</v>
      </c>
      <c r="J34" s="124">
        <f t="shared" si="9"/>
        <v>1509833.5270722876</v>
      </c>
      <c r="K34" s="124">
        <f t="shared" si="1"/>
        <v>1148158.3512943189</v>
      </c>
      <c r="L34" s="125" t="e">
        <f t="shared" si="2"/>
        <v>#N/A</v>
      </c>
      <c r="M34" s="124" t="e">
        <f t="shared" si="3"/>
        <v>#N/A</v>
      </c>
      <c r="N34" s="122"/>
      <c r="O34" s="7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</row>
    <row r="35" spans="1:42" ht="18.75">
      <c r="A35" s="136"/>
      <c r="B35" s="135"/>
      <c r="D35" s="120">
        <f t="shared" si="4"/>
        <v>0</v>
      </c>
      <c r="E35" s="121" t="str">
        <f>IF(D35=('Financial Freedom Calculator'!$E$12*-1),"Years Until Retirement",
IF(D35=0,"Retirement",
""))</f>
        <v>Retirement</v>
      </c>
      <c r="F35" s="121" t="str">
        <f t="shared" si="5"/>
        <v/>
      </c>
      <c r="G35" s="121">
        <f t="shared" si="6"/>
        <v>0</v>
      </c>
      <c r="H35" s="126">
        <f t="shared" si="7"/>
        <v>0</v>
      </c>
      <c r="I35" s="127">
        <f t="shared" si="8"/>
        <v>1233529.4358849213</v>
      </c>
      <c r="J35" s="124">
        <f t="shared" si="9"/>
        <v>1624662.5671211793</v>
      </c>
      <c r="K35" s="124">
        <f t="shared" si="1"/>
        <v>1233529.4358849213</v>
      </c>
      <c r="L35" s="125" t="e">
        <f t="shared" si="2"/>
        <v>#N/A</v>
      </c>
      <c r="M35" s="124" t="e">
        <f t="shared" si="3"/>
        <v>#N/A</v>
      </c>
      <c r="N35" s="122"/>
      <c r="O35" s="7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1:42" ht="18.75">
      <c r="A36" s="136"/>
      <c r="B36" s="135"/>
      <c r="D36" s="120">
        <f t="shared" si="4"/>
        <v>1</v>
      </c>
      <c r="E36" s="121" t="str">
        <f>IF(D36=('Financial Freedom Calculator'!$E$12*-1),"Years Until Retirement",
IF(D36=0,"Retirement",
""))</f>
        <v/>
      </c>
      <c r="F36" s="121" t="str">
        <f t="shared" si="5"/>
        <v/>
      </c>
      <c r="G36" s="121" t="str">
        <f t="shared" si="6"/>
        <v/>
      </c>
      <c r="H36" s="126">
        <f t="shared" si="7"/>
        <v>99624.887125684443</v>
      </c>
      <c r="I36" s="127">
        <f t="shared" si="8"/>
        <v>1213277.8671723837</v>
      </c>
      <c r="J36" s="124">
        <f t="shared" si="9"/>
        <v>1631790.3175951797</v>
      </c>
      <c r="K36" s="124">
        <f t="shared" si="1"/>
        <v>1213277.8671723837</v>
      </c>
      <c r="L36" s="125" t="e">
        <f t="shared" si="2"/>
        <v>#N/A</v>
      </c>
      <c r="M36" s="124" t="e">
        <f t="shared" si="3"/>
        <v>#N/A</v>
      </c>
      <c r="N36" s="1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</row>
    <row r="37" spans="1:42" ht="18.75">
      <c r="A37" s="136"/>
      <c r="B37" s="135"/>
      <c r="D37" s="120">
        <f t="shared" si="4"/>
        <v>2</v>
      </c>
      <c r="E37" s="121" t="str">
        <f>IF(D37=('Financial Freedom Calculator'!$E$12*-1),"Years Until Retirement",
IF(D37=0,"Retirement",
""))</f>
        <v/>
      </c>
      <c r="F37" s="121" t="str">
        <f t="shared" si="5"/>
        <v/>
      </c>
      <c r="G37" s="121" t="str">
        <f t="shared" si="6"/>
        <v/>
      </c>
      <c r="H37" s="126">
        <f t="shared" si="7"/>
        <v>101617.38486819813</v>
      </c>
      <c r="I37" s="127">
        <f t="shared" si="8"/>
        <v>1189476.7160654787</v>
      </c>
      <c r="J37" s="124">
        <f t="shared" si="9"/>
        <v>1637285.0380178704</v>
      </c>
      <c r="K37" s="124">
        <f t="shared" ref="K37:K68" si="10">IF(AND(D37&lt;&gt;"",I37&gt;=0),I37,
#N/A)</f>
        <v>1189476.7160654787</v>
      </c>
      <c r="L37" s="125" t="e">
        <f t="shared" si="2"/>
        <v>#N/A</v>
      </c>
      <c r="M37" s="124" t="e">
        <f t="shared" si="3"/>
        <v>#N/A</v>
      </c>
      <c r="N37" s="1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</row>
    <row r="38" spans="1:42" ht="18.75">
      <c r="A38" s="136"/>
      <c r="B38" s="135"/>
      <c r="D38" s="120">
        <f t="shared" ref="D38:D101" si="11">IFERROR(IF(D37+1&lt;=life_span,D37+1,""),"")</f>
        <v>3</v>
      </c>
      <c r="E38" s="121" t="str">
        <f>IF(D38=('Financial Freedom Calculator'!$E$12*-1),"Years Until Retirement",
IF(D38=0,"Retirement",
""))</f>
        <v/>
      </c>
      <c r="F38" s="121" t="str">
        <f t="shared" si="5"/>
        <v/>
      </c>
      <c r="G38" s="121" t="str">
        <f t="shared" ref="G38:G69" si="12">IFERROR(ABS(IF(OR(D38=ROUNDUP($D$5*0.75,0),D38=ROUNDUP($D$5*0.5,0),D38=ROUNDUP($D$5*0.25,0),
D38=0,D38=life_span,D38=ROUNDUP(life_span*0.75,0),D38=ROUNDUP(life_span*0.5,0),D38=ROUNDUP(life_span*0.25,0)),D38,"")),"")</f>
        <v/>
      </c>
      <c r="H38" s="126">
        <f t="shared" ref="H38:H69" si="13">IF(D38=1,future_income,
IF(D38&lt;1,0,
IF(D38&gt;life_span,"",
H37*(1+inflation_rate))))</f>
        <v>103649.7325655621</v>
      </c>
      <c r="I38" s="127">
        <f t="shared" ref="I38:I69" si="14" xml:space="preserve">
IF(AND(D38="",D37&lt;&gt;""),
HYPERLINK("#home","Back to Top"),
IF(IF(AND($D38&lt;=life_span,$D38&lt;&gt;""),($I37-IF($H38="",0,$H38))*(1+return_rate)
+IF($D38&lt;=0,deposits,0),"")&lt;0,$I37-$H38,
IF(AND($D38&lt;=life_span,$D38&lt;&gt;""),($I37-IF($H38="",0,$H38))*(1+return_rate)
+IF($D38&lt;=0,deposits,0),"")))</f>
        <v>1161834.8723449109</v>
      </c>
      <c r="J38" s="124">
        <f t="shared" ref="J38:J68" si="15">IF(AND(D38&lt;=life_span,D38&gt;=-years_left),
IF(D38&gt;0,(J37-H38)*(1+return_rate),
IF(D38&lt;=0,J37*(1+return_rate)+deposits+add_savings,"")),"")</f>
        <v>1640989.7768339701</v>
      </c>
      <c r="K38" s="124">
        <f t="shared" si="10"/>
        <v>1161834.8723449109</v>
      </c>
      <c r="L38" s="125" t="e">
        <f t="shared" si="2"/>
        <v>#N/A</v>
      </c>
      <c r="M38" s="124" t="e">
        <f t="shared" si="3"/>
        <v>#N/A</v>
      </c>
      <c r="N38" s="1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</row>
    <row r="39" spans="1:42" ht="18.75">
      <c r="A39" s="136"/>
      <c r="B39" s="135"/>
      <c r="D39" s="120">
        <f t="shared" si="11"/>
        <v>4</v>
      </c>
      <c r="E39" s="121" t="str">
        <f>IF(D39=('Financial Freedom Calculator'!$E$12*-1),"Years Until Retirement",
IF(D39=0,"Retirement",
""))</f>
        <v/>
      </c>
      <c r="F39" s="121" t="str">
        <f t="shared" si="5"/>
        <v/>
      </c>
      <c r="G39" s="121" t="str">
        <f t="shared" si="12"/>
        <v/>
      </c>
      <c r="H39" s="126">
        <f t="shared" si="13"/>
        <v>105722.72721687333</v>
      </c>
      <c r="I39" s="127">
        <f t="shared" si="14"/>
        <v>1130039.9952870002</v>
      </c>
      <c r="J39" s="124">
        <f t="shared" si="15"/>
        <v>1642735.7430902936</v>
      </c>
      <c r="K39" s="124">
        <f t="shared" si="10"/>
        <v>1130039.9952870002</v>
      </c>
      <c r="L39" s="125" t="e">
        <f t="shared" si="2"/>
        <v>#N/A</v>
      </c>
      <c r="M39" s="124" t="e">
        <f t="shared" si="3"/>
        <v>#N/A</v>
      </c>
      <c r="N39" s="1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</row>
    <row r="40" spans="1:42" ht="18.75">
      <c r="A40" s="136"/>
      <c r="B40" s="135"/>
      <c r="D40" s="120">
        <f t="shared" si="11"/>
        <v>5</v>
      </c>
      <c r="E40" s="121" t="str">
        <f>IF(D40=('Financial Freedom Calculator'!$E$12*-1),"Years Until Retirement",
IF(D40=0,"Retirement",
""))</f>
        <v/>
      </c>
      <c r="F40" s="121" t="str">
        <f t="shared" si="5"/>
        <v/>
      </c>
      <c r="G40" s="121" t="str">
        <f t="shared" si="12"/>
        <v/>
      </c>
      <c r="H40" s="126">
        <f t="shared" si="13"/>
        <v>107837.1817612108</v>
      </c>
      <c r="I40" s="127">
        <f t="shared" si="14"/>
        <v>1093757.0104725948</v>
      </c>
      <c r="J40" s="124">
        <f t="shared" si="15"/>
        <v>1642341.4606221188</v>
      </c>
      <c r="K40" s="124">
        <f t="shared" si="10"/>
        <v>1093757.0104725948</v>
      </c>
      <c r="L40" s="125" t="e">
        <f t="shared" si="2"/>
        <v>#N/A</v>
      </c>
      <c r="M40" s="124" t="e">
        <f t="shared" si="3"/>
        <v>#N/A</v>
      </c>
      <c r="N40" s="1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</row>
    <row r="41" spans="1:42" ht="18.75">
      <c r="A41" s="136"/>
      <c r="B41" s="135"/>
      <c r="D41" s="120">
        <f t="shared" si="11"/>
        <v>6</v>
      </c>
      <c r="E41" s="121" t="str">
        <f>IF(D41=('Financial Freedom Calculator'!$E$12*-1),"Years Until Retirement",
IF(D41=0,"Retirement",
""))</f>
        <v/>
      </c>
      <c r="F41" s="121" t="str">
        <f t="shared" si="5"/>
        <v/>
      </c>
      <c r="G41" s="121" t="str">
        <f t="shared" si="12"/>
        <v/>
      </c>
      <c r="H41" s="126">
        <f t="shared" si="13"/>
        <v>109993.92539643502</v>
      </c>
      <c r="I41" s="127">
        <f t="shared" si="14"/>
        <v>1052626.501031491</v>
      </c>
      <c r="J41" s="124">
        <f t="shared" si="15"/>
        <v>1639611.8626914818</v>
      </c>
      <c r="K41" s="124">
        <f t="shared" si="10"/>
        <v>1052626.501031491</v>
      </c>
      <c r="L41" s="125" t="e">
        <f t="shared" si="2"/>
        <v>#N/A</v>
      </c>
      <c r="M41" s="124" t="e">
        <f t="shared" si="3"/>
        <v>#N/A</v>
      </c>
      <c r="N41" s="1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</row>
    <row r="42" spans="1:42" ht="18.75">
      <c r="A42" s="136"/>
      <c r="B42" s="135"/>
      <c r="D42" s="120">
        <f t="shared" si="11"/>
        <v>7</v>
      </c>
      <c r="E42" s="121" t="str">
        <f>IF(D42=('Financial Freedom Calculator'!$E$12*-1),"Years Until Retirement",
IF(D42=0,"Retirement",
""))</f>
        <v/>
      </c>
      <c r="F42" s="121" t="str">
        <f t="shared" si="5"/>
        <v/>
      </c>
      <c r="G42" s="121" t="str">
        <f t="shared" si="12"/>
        <v/>
      </c>
      <c r="H42" s="126">
        <f t="shared" si="13"/>
        <v>112193.80390436373</v>
      </c>
      <c r="I42" s="127">
        <f t="shared" si="14"/>
        <v>1006262.9859260261</v>
      </c>
      <c r="J42" s="124">
        <f t="shared" si="15"/>
        <v>1634337.3229022166</v>
      </c>
      <c r="K42" s="124">
        <f t="shared" si="10"/>
        <v>1006262.9859260261</v>
      </c>
      <c r="L42" s="125" t="e">
        <f t="shared" si="2"/>
        <v>#N/A</v>
      </c>
      <c r="M42" s="124" t="e">
        <f t="shared" si="3"/>
        <v>#N/A</v>
      </c>
      <c r="N42" s="1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1:42" ht="18.75">
      <c r="A43" s="136"/>
      <c r="B43" s="135"/>
      <c r="D43" s="120">
        <f t="shared" si="11"/>
        <v>8</v>
      </c>
      <c r="E43" s="121" t="str">
        <f>IF(D43=('Financial Freedom Calculator'!$E$12*-1),"Years Until Retirement",
IF(D43=0,"Retirement",
""))</f>
        <v/>
      </c>
      <c r="F43" s="121" t="str">
        <f t="shared" si="5"/>
        <v/>
      </c>
      <c r="G43" s="121">
        <f t="shared" si="12"/>
        <v>8</v>
      </c>
      <c r="H43" s="126">
        <f t="shared" si="13"/>
        <v>114437.67998245101</v>
      </c>
      <c r="I43" s="127">
        <f t="shared" si="14"/>
        <v>954253.07735962537</v>
      </c>
      <c r="J43" s="124">
        <f t="shared" si="15"/>
        <v>1626292.6179241491</v>
      </c>
      <c r="K43" s="124">
        <f t="shared" si="10"/>
        <v>954253.07735962537</v>
      </c>
      <c r="L43" s="125" t="e">
        <f t="shared" si="2"/>
        <v>#N/A</v>
      </c>
      <c r="M43" s="124" t="e">
        <f t="shared" si="3"/>
        <v>#N/A</v>
      </c>
      <c r="N43" s="1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1:42" ht="18.75">
      <c r="A44" s="136"/>
      <c r="B44" s="135"/>
      <c r="D44" s="120">
        <f t="shared" si="11"/>
        <v>9</v>
      </c>
      <c r="E44" s="121" t="str">
        <f>IF(D44=('Financial Freedom Calculator'!$E$12*-1),"Years Until Retirement",
IF(D44=0,"Retirement",
""))</f>
        <v/>
      </c>
      <c r="F44" s="121" t="str">
        <f t="shared" si="5"/>
        <v/>
      </c>
      <c r="G44" s="121" t="str">
        <f t="shared" si="12"/>
        <v/>
      </c>
      <c r="H44" s="126">
        <f t="shared" si="13"/>
        <v>116726.43358210003</v>
      </c>
      <c r="I44" s="127">
        <f t="shared" si="14"/>
        <v>896153.50884195208</v>
      </c>
      <c r="J44" s="124">
        <f t="shared" si="15"/>
        <v>1615235.8172459926</v>
      </c>
      <c r="K44" s="124">
        <f t="shared" si="10"/>
        <v>896153.50884195208</v>
      </c>
      <c r="L44" s="125" t="e">
        <f>IF(I44&gt;=0,#N/A,I44)</f>
        <v>#N/A</v>
      </c>
      <c r="M44" s="124" t="e">
        <f>IF(AND(ISERROR(L43),L44&lt;0),"It looks like you will fall short by "&amp;TEXT(MIN(I:I)*-1,"$##,#00.00"),#N/A)</f>
        <v>#N/A</v>
      </c>
      <c r="N44" s="1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1:42" ht="18.75">
      <c r="A45" s="136"/>
      <c r="B45" s="135"/>
      <c r="D45" s="120">
        <f t="shared" si="11"/>
        <v>10</v>
      </c>
      <c r="E45" s="121" t="str">
        <f>IF(D45=('Financial Freedom Calculator'!$E$12*-1),"Years Until Retirement",
IF(D45=0,"Retirement",
""))</f>
        <v/>
      </c>
      <c r="F45" s="121" t="str">
        <f t="shared" si="5"/>
        <v/>
      </c>
      <c r="G45" s="121" t="str">
        <f t="shared" si="12"/>
        <v/>
      </c>
      <c r="H45" s="126">
        <f t="shared" si="13"/>
        <v>119060.96225374204</v>
      </c>
      <c r="I45" s="127">
        <f t="shared" si="14"/>
        <v>831489.02484938479</v>
      </c>
      <c r="J45" s="124">
        <f t="shared" si="15"/>
        <v>1600907.094841708</v>
      </c>
      <c r="K45" s="124">
        <f t="shared" si="10"/>
        <v>831489.02484938479</v>
      </c>
      <c r="L45" s="125" t="e">
        <f t="shared" ref="L45:L108" si="16">IF(I45&gt;=0,#N/A,I45)</f>
        <v>#N/A</v>
      </c>
      <c r="M45" s="124" t="e">
        <f>IF(AND(ISERROR(L44),L45&lt;0),"It looks like you will fall short by "&amp;TEXT(MIN(I:I)*-1,"$##,#00.00"),#N/A)</f>
        <v>#N/A</v>
      </c>
      <c r="N45" s="1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1:42" ht="18.75">
      <c r="A46" s="136"/>
      <c r="B46" s="135"/>
      <c r="D46" s="120">
        <f t="shared" si="11"/>
        <v>11</v>
      </c>
      <c r="E46" s="121" t="str">
        <f>IF(D46=('Financial Freedom Calculator'!$E$12*-1),"Years Until Retirement",
IF(D46=0,"Retirement",
""))</f>
        <v/>
      </c>
      <c r="F46" s="121" t="str">
        <f t="shared" si="5"/>
        <v/>
      </c>
      <c r="G46" s="121" t="str">
        <f t="shared" si="12"/>
        <v/>
      </c>
      <c r="H46" s="126">
        <f t="shared" si="13"/>
        <v>121442.18149881688</v>
      </c>
      <c r="I46" s="127">
        <f t="shared" si="14"/>
        <v>759750.12238510768</v>
      </c>
      <c r="J46" s="124">
        <f t="shared" si="15"/>
        <v>1583027.4572768935</v>
      </c>
      <c r="K46" s="124">
        <f t="shared" si="10"/>
        <v>759750.12238510768</v>
      </c>
      <c r="L46" s="125" t="e">
        <f t="shared" si="16"/>
        <v>#N/A</v>
      </c>
      <c r="M46" s="124" t="e">
        <f t="shared" ref="M46:M109" si="17">IF(AND(ISERROR(L45),L46&lt;0),"It looks like you will fall short by "&amp;TEXT(MIN(I:I)*-1,"$##,#00.00"),#N/A)</f>
        <v>#N/A</v>
      </c>
      <c r="N46" s="1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1:42" ht="18.75">
      <c r="A47" s="136"/>
      <c r="B47" s="135"/>
      <c r="D47" s="120">
        <f t="shared" si="11"/>
        <v>12</v>
      </c>
      <c r="E47" s="121" t="str">
        <f>IF(D47=('Financial Freedom Calculator'!$E$12*-1),"Years Until Retirement",
IF(D47=0,"Retirement",
""))</f>
        <v/>
      </c>
      <c r="F47" s="121" t="str">
        <f t="shared" si="5"/>
        <v/>
      </c>
      <c r="G47" s="121" t="str">
        <f t="shared" si="12"/>
        <v/>
      </c>
      <c r="H47" s="126">
        <f t="shared" si="13"/>
        <v>123871.02512879322</v>
      </c>
      <c r="I47" s="127">
        <f t="shared" si="14"/>
        <v>680390.63406425656</v>
      </c>
      <c r="J47" s="124">
        <f t="shared" si="15"/>
        <v>1561297.3823984675</v>
      </c>
      <c r="K47" s="124">
        <f t="shared" si="10"/>
        <v>680390.63406425656</v>
      </c>
      <c r="L47" s="125" t="e">
        <f t="shared" si="16"/>
        <v>#N/A</v>
      </c>
      <c r="M47" s="124" t="e">
        <f t="shared" si="17"/>
        <v>#N/A</v>
      </c>
      <c r="N47" s="1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1:42" ht="18.75">
      <c r="A48" s="136"/>
      <c r="B48" s="135"/>
      <c r="D48" s="120">
        <f t="shared" si="11"/>
        <v>13</v>
      </c>
      <c r="E48" s="121" t="str">
        <f>IF(D48=('Financial Freedom Calculator'!$E$12*-1),"Years Until Retirement",
IF(D48=0,"Retirement",
""))</f>
        <v/>
      </c>
      <c r="F48" s="121" t="str">
        <f t="shared" si="5"/>
        <v/>
      </c>
      <c r="G48" s="121" t="str">
        <f t="shared" si="12"/>
        <v/>
      </c>
      <c r="H48" s="126">
        <f t="shared" si="13"/>
        <v>126348.44563136909</v>
      </c>
      <c r="I48" s="127">
        <f t="shared" si="14"/>
        <v>592825.14162318956</v>
      </c>
      <c r="J48" s="124">
        <f t="shared" si="15"/>
        <v>1535395.3623407956</v>
      </c>
      <c r="K48" s="124">
        <f t="shared" si="10"/>
        <v>592825.14162318956</v>
      </c>
      <c r="L48" s="125" t="e">
        <f t="shared" si="16"/>
        <v>#N/A</v>
      </c>
      <c r="M48" s="124" t="e">
        <f t="shared" si="17"/>
        <v>#N/A</v>
      </c>
      <c r="N48" s="1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  <row r="49" spans="1:42" ht="18.75">
      <c r="A49" s="136"/>
      <c r="B49" s="135"/>
      <c r="D49" s="120">
        <f t="shared" si="11"/>
        <v>14</v>
      </c>
      <c r="E49" s="121" t="str">
        <f>IF(D49=('Financial Freedom Calculator'!$E$12*-1),"Years Until Retirement",
IF(D49=0,"Retirement",
""))</f>
        <v/>
      </c>
      <c r="F49" s="121" t="str">
        <f t="shared" si="5"/>
        <v/>
      </c>
      <c r="G49" s="121" t="str">
        <f t="shared" si="12"/>
        <v/>
      </c>
      <c r="H49" s="126">
        <f t="shared" si="13"/>
        <v>128875.41454399648</v>
      </c>
      <c r="I49" s="127">
        <f t="shared" si="14"/>
        <v>496426.20797473664</v>
      </c>
      <c r="J49" s="124">
        <f t="shared" si="15"/>
        <v>1504976.344142575</v>
      </c>
      <c r="K49" s="124">
        <f t="shared" si="10"/>
        <v>496426.20797473664</v>
      </c>
      <c r="L49" s="125" t="e">
        <f t="shared" si="16"/>
        <v>#N/A</v>
      </c>
      <c r="M49" s="124" t="e">
        <f t="shared" si="17"/>
        <v>#N/A</v>
      </c>
      <c r="N49" s="1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</row>
    <row r="50" spans="1:42" ht="18.75">
      <c r="A50" s="136"/>
      <c r="B50" s="135"/>
      <c r="D50" s="120">
        <f t="shared" si="11"/>
        <v>15</v>
      </c>
      <c r="E50" s="121" t="str">
        <f>IF(D50=('Financial Freedom Calculator'!$E$12*-1),"Years Until Retirement",
IF(D50=0,"Retirement",
""))</f>
        <v/>
      </c>
      <c r="F50" s="121" t="str">
        <f t="shared" si="5"/>
        <v/>
      </c>
      <c r="G50" s="121">
        <f t="shared" si="12"/>
        <v>15</v>
      </c>
      <c r="H50" s="126">
        <f t="shared" si="13"/>
        <v>131452.9228348764</v>
      </c>
      <c r="I50" s="127">
        <f t="shared" si="14"/>
        <v>390521.41509965045</v>
      </c>
      <c r="J50" s="124">
        <f t="shared" si="15"/>
        <v>1469670.0607992376</v>
      </c>
      <c r="K50" s="124">
        <f t="shared" si="10"/>
        <v>390521.41509965045</v>
      </c>
      <c r="L50" s="125" t="e">
        <f t="shared" si="16"/>
        <v>#N/A</v>
      </c>
      <c r="M50" s="124" t="e">
        <f t="shared" si="17"/>
        <v>#N/A</v>
      </c>
      <c r="N50" s="1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</row>
    <row r="51" spans="1:42" ht="18.75">
      <c r="A51" s="136"/>
      <c r="B51" s="135"/>
      <c r="D51" s="120">
        <f t="shared" si="11"/>
        <v>16</v>
      </c>
      <c r="E51" s="121" t="str">
        <f>IF(D51=('Financial Freedom Calculator'!$E$12*-1),"Years Until Retirement",
IF(D51=0,"Retirement",
""))</f>
        <v/>
      </c>
      <c r="F51" s="121" t="str">
        <f t="shared" si="5"/>
        <v/>
      </c>
      <c r="G51" s="121" t="str">
        <f t="shared" si="12"/>
        <v/>
      </c>
      <c r="H51" s="126">
        <f t="shared" si="13"/>
        <v>134081.98129157393</v>
      </c>
      <c r="I51" s="127">
        <f t="shared" si="14"/>
        <v>274390.19417464186</v>
      </c>
      <c r="J51" s="124">
        <f t="shared" si="15"/>
        <v>1429079.2450732002</v>
      </c>
      <c r="K51" s="124">
        <f t="shared" si="10"/>
        <v>274390.19417464186</v>
      </c>
      <c r="L51" s="125" t="e">
        <f t="shared" si="16"/>
        <v>#N/A</v>
      </c>
      <c r="M51" s="124" t="e">
        <f t="shared" si="17"/>
        <v>#N/A</v>
      </c>
      <c r="N51" s="1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</row>
    <row r="52" spans="1:42" ht="18.75">
      <c r="A52" s="136"/>
      <c r="B52" s="135"/>
      <c r="D52" s="120">
        <f t="shared" si="11"/>
        <v>17</v>
      </c>
      <c r="E52" s="121" t="str">
        <f>IF(D52=('Financial Freedom Calculator'!$E$12*-1),"Years Until Retirement",
IF(D52=0,"Retirement",
""))</f>
        <v/>
      </c>
      <c r="F52" s="121" t="str">
        <f t="shared" si="5"/>
        <v/>
      </c>
      <c r="G52" s="121" t="str">
        <f t="shared" si="12"/>
        <v/>
      </c>
      <c r="H52" s="126">
        <f t="shared" si="13"/>
        <v>136763.62091740541</v>
      </c>
      <c r="I52" s="127">
        <f t="shared" si="14"/>
        <v>147260.433385243</v>
      </c>
      <c r="J52" s="124">
        <f t="shared" si="15"/>
        <v>1382777.7178467005</v>
      </c>
      <c r="K52" s="124">
        <f t="shared" si="10"/>
        <v>147260.433385243</v>
      </c>
      <c r="L52" s="125" t="e">
        <f t="shared" si="16"/>
        <v>#N/A</v>
      </c>
      <c r="M52" s="124" t="e">
        <f t="shared" si="17"/>
        <v>#N/A</v>
      </c>
      <c r="N52" s="1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</row>
    <row r="53" spans="1:42" ht="18.75">
      <c r="A53" s="136"/>
      <c r="B53" s="135"/>
      <c r="D53" s="120">
        <f t="shared" si="11"/>
        <v>18</v>
      </c>
      <c r="E53" s="121" t="str">
        <f>IF(D53=('Financial Freedom Calculator'!$E$12*-1),"Years Until Retirement",
IF(D53=0,"Retirement",
""))</f>
        <v/>
      </c>
      <c r="F53" s="121" t="str">
        <f t="shared" si="5"/>
        <v/>
      </c>
      <c r="G53" s="121" t="str">
        <f t="shared" si="12"/>
        <v/>
      </c>
      <c r="H53" s="126">
        <f t="shared" si="13"/>
        <v>139498.89333575353</v>
      </c>
      <c r="I53" s="127">
        <f t="shared" si="14"/>
        <v>8304.8478529537351</v>
      </c>
      <c r="J53" s="124">
        <f t="shared" si="15"/>
        <v>1330308.3422267132</v>
      </c>
      <c r="K53" s="124">
        <f t="shared" si="10"/>
        <v>8304.8478529537351</v>
      </c>
      <c r="L53" s="125" t="e">
        <f t="shared" si="16"/>
        <v>#N/A</v>
      </c>
      <c r="M53" s="124" t="e">
        <f t="shared" si="17"/>
        <v>#N/A</v>
      </c>
      <c r="N53" s="1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</row>
    <row r="54" spans="1:42" ht="18.75">
      <c r="A54" s="136"/>
      <c r="B54" s="135"/>
      <c r="D54" s="120">
        <f t="shared" si="11"/>
        <v>19</v>
      </c>
      <c r="E54" s="121" t="str">
        <f>IF(D54=('Financial Freedom Calculator'!$E$12*-1),"Years Until Retirement",
IF(D54=0,"Retirement",
""))</f>
        <v/>
      </c>
      <c r="F54" s="121" t="str">
        <f>IF(ROW(F54)-4=50,"Retirement","")</f>
        <v>Retirement</v>
      </c>
      <c r="G54" s="121" t="str">
        <f t="shared" si="12"/>
        <v/>
      </c>
      <c r="H54" s="126">
        <f t="shared" si="13"/>
        <v>142288.87120246861</v>
      </c>
      <c r="I54" s="127">
        <f t="shared" si="14"/>
        <v>-133984.02334951487</v>
      </c>
      <c r="J54" s="124">
        <f t="shared" si="15"/>
        <v>1271180.8339959418</v>
      </c>
      <c r="K54" s="124" t="e">
        <f t="shared" si="10"/>
        <v>#N/A</v>
      </c>
      <c r="L54" s="125">
        <f t="shared" si="16"/>
        <v>-133984.02334951487</v>
      </c>
      <c r="M54" s="124" t="str">
        <f>IF(AND(ISERROR(L53),L54&lt;0),"It looks like you will fall short by "&amp;TEXT(MIN(I:I)*-1,"$##,#00.00"),#N/A)</f>
        <v>It looks like you will fall short by $1,900,086.26</v>
      </c>
      <c r="N54" s="1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</row>
    <row r="55" spans="1:42" ht="18.75">
      <c r="A55" s="136"/>
      <c r="B55" s="135"/>
      <c r="D55" s="120">
        <f t="shared" si="11"/>
        <v>20</v>
      </c>
      <c r="E55" s="121" t="str">
        <f>IF(D55=('Financial Freedom Calculator'!$E$12*-1),"Years Until Retirement",
IF(D55=0,"Retirement",
""))</f>
        <v/>
      </c>
      <c r="F55" s="121" t="str">
        <f t="shared" si="5"/>
        <v/>
      </c>
      <c r="G55" s="121" t="str">
        <f t="shared" si="12"/>
        <v/>
      </c>
      <c r="H55" s="126">
        <f t="shared" si="13"/>
        <v>145134.648626518</v>
      </c>
      <c r="I55" s="127">
        <f t="shared" si="14"/>
        <v>-279118.6719760329</v>
      </c>
      <c r="J55" s="124">
        <f t="shared" si="15"/>
        <v>1204869.4183452835</v>
      </c>
      <c r="K55" s="124" t="e">
        <f t="shared" si="10"/>
        <v>#N/A</v>
      </c>
      <c r="L55" s="125">
        <f t="shared" si="16"/>
        <v>-279118.6719760329</v>
      </c>
      <c r="M55" s="124" t="e">
        <f t="shared" si="17"/>
        <v>#N/A</v>
      </c>
      <c r="N55" s="1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</row>
    <row r="56" spans="1:42" ht="18.75">
      <c r="A56" s="136"/>
      <c r="B56" s="135"/>
      <c r="D56" s="120">
        <f t="shared" si="11"/>
        <v>21</v>
      </c>
      <c r="E56" s="121" t="str">
        <f>IF(D56=('Financial Freedom Calculator'!$E$12*-1),"Years Until Retirement",
IF(D56=0,"Retirement",
""))</f>
        <v/>
      </c>
      <c r="F56" s="121" t="str">
        <f t="shared" si="5"/>
        <v/>
      </c>
      <c r="G56" s="121" t="str">
        <f t="shared" si="12"/>
        <v/>
      </c>
      <c r="H56" s="126">
        <f t="shared" si="13"/>
        <v>148037.34159904835</v>
      </c>
      <c r="I56" s="127">
        <f t="shared" si="14"/>
        <v>-427156.01357508125</v>
      </c>
      <c r="J56" s="124">
        <f t="shared" si="15"/>
        <v>1130810.3221184716</v>
      </c>
      <c r="K56" s="124" t="e">
        <f t="shared" si="10"/>
        <v>#N/A</v>
      </c>
      <c r="L56" s="125">
        <f t="shared" si="16"/>
        <v>-427156.01357508125</v>
      </c>
      <c r="M56" s="124" t="e">
        <f t="shared" si="17"/>
        <v>#N/A</v>
      </c>
      <c r="N56" s="1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</row>
    <row r="57" spans="1:42" ht="18.75">
      <c r="A57" s="136"/>
      <c r="B57" s="135"/>
      <c r="D57" s="120">
        <f t="shared" si="11"/>
        <v>22</v>
      </c>
      <c r="E57" s="121" t="str">
        <f>IF(D57=('Financial Freedom Calculator'!$E$12*-1),"Years Until Retirement",
IF(D57=0,"Retirement",
""))</f>
        <v/>
      </c>
      <c r="F57" s="121" t="str">
        <f t="shared" si="5"/>
        <v/>
      </c>
      <c r="G57" s="121" t="str">
        <f t="shared" si="12"/>
        <v/>
      </c>
      <c r="H57" s="126">
        <f t="shared" si="13"/>
        <v>150998.08843102932</v>
      </c>
      <c r="I57" s="127">
        <f t="shared" si="14"/>
        <v>-578154.1020061106</v>
      </c>
      <c r="J57" s="124">
        <f t="shared" si="15"/>
        <v>1048399.0900455633</v>
      </c>
      <c r="K57" s="124" t="e">
        <f t="shared" si="10"/>
        <v>#N/A</v>
      </c>
      <c r="L57" s="125">
        <f t="shared" si="16"/>
        <v>-578154.1020061106</v>
      </c>
      <c r="M57" s="124" t="e">
        <f t="shared" si="17"/>
        <v>#N/A</v>
      </c>
      <c r="N57" s="1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</row>
    <row r="58" spans="1:42" ht="18.75">
      <c r="A58" s="136"/>
      <c r="B58" s="135"/>
      <c r="D58" s="120">
        <f>IFERROR(IF(D57+1&lt;=life_span,D57+1,""),"")</f>
        <v>23</v>
      </c>
      <c r="E58" s="121" t="str">
        <f>IF(D58=('Financial Freedom Calculator'!$E$12*-1),"Years Until Retirement",
IF(D58=0,"Retirement",
""))</f>
        <v/>
      </c>
      <c r="F58" s="121" t="str">
        <f t="shared" si="5"/>
        <v/>
      </c>
      <c r="G58" s="121">
        <f t="shared" si="12"/>
        <v>23</v>
      </c>
      <c r="H58" s="126">
        <f t="shared" si="13"/>
        <v>154018.05019964991</v>
      </c>
      <c r="I58" s="127">
        <f t="shared" si="14"/>
        <v>-732172.15220576047</v>
      </c>
      <c r="J58" s="124">
        <f t="shared" si="15"/>
        <v>956987.71263512736</v>
      </c>
      <c r="K58" s="124" t="e">
        <f t="shared" si="10"/>
        <v>#N/A</v>
      </c>
      <c r="L58" s="125">
        <f t="shared" si="16"/>
        <v>-732172.15220576047</v>
      </c>
      <c r="M58" s="124" t="e">
        <f t="shared" si="17"/>
        <v>#N/A</v>
      </c>
      <c r="N58" s="1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</row>
    <row r="59" spans="1:42" ht="18.75">
      <c r="A59" s="136"/>
      <c r="B59" s="135"/>
      <c r="D59" s="120">
        <f t="shared" si="11"/>
        <v>24</v>
      </c>
      <c r="E59" s="121" t="str">
        <f>IF(D59=('Financial Freedom Calculator'!$E$12*-1),"Years Until Retirement",
IF(D59=0,"Retirement",
""))</f>
        <v/>
      </c>
      <c r="F59" s="121" t="str">
        <f t="shared" si="5"/>
        <v/>
      </c>
      <c r="G59" s="121" t="str">
        <f t="shared" si="12"/>
        <v/>
      </c>
      <c r="H59" s="126">
        <f t="shared" si="13"/>
        <v>157098.4112036429</v>
      </c>
      <c r="I59" s="127">
        <f t="shared" si="14"/>
        <v>-889270.56340940343</v>
      </c>
      <c r="J59" s="124">
        <f t="shared" si="15"/>
        <v>855881.55253168847</v>
      </c>
      <c r="K59" s="124" t="e">
        <f t="shared" si="10"/>
        <v>#N/A</v>
      </c>
      <c r="L59" s="125">
        <f t="shared" si="16"/>
        <v>-889270.56340940343</v>
      </c>
      <c r="M59" s="124" t="e">
        <f t="shared" si="17"/>
        <v>#N/A</v>
      </c>
      <c r="N59" s="12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</row>
    <row r="60" spans="1:42" ht="18.75">
      <c r="A60" s="136"/>
      <c r="B60" s="135"/>
      <c r="D60" s="120">
        <f t="shared" si="11"/>
        <v>25</v>
      </c>
      <c r="E60" s="121" t="str">
        <f>IF(D60=('Financial Freedom Calculator'!$E$12*-1),"Years Until Retirement",
IF(D60=0,"Retirement",
""))</f>
        <v/>
      </c>
      <c r="F60" s="121" t="str">
        <f t="shared" si="5"/>
        <v/>
      </c>
      <c r="G60" s="121" t="str">
        <f t="shared" si="12"/>
        <v/>
      </c>
      <c r="H60" s="126">
        <f t="shared" si="13"/>
        <v>160240.37942771576</v>
      </c>
      <c r="I60" s="127">
        <f t="shared" si="14"/>
        <v>-1049510.9428371191</v>
      </c>
      <c r="J60" s="124">
        <f t="shared" si="15"/>
        <v>744336.05522125086</v>
      </c>
      <c r="K60" s="124" t="e">
        <f t="shared" si="10"/>
        <v>#N/A</v>
      </c>
      <c r="L60" s="125">
        <f t="shared" si="16"/>
        <v>-1049510.9428371191</v>
      </c>
      <c r="M60" s="124" t="e">
        <f t="shared" si="17"/>
        <v>#N/A</v>
      </c>
      <c r="N60" s="12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</row>
    <row r="61" spans="1:42" ht="18.75">
      <c r="A61" s="136"/>
      <c r="B61" s="135"/>
      <c r="D61" s="120">
        <f t="shared" si="11"/>
        <v>26</v>
      </c>
      <c r="E61" s="121" t="str">
        <f>IF(D61=('Financial Freedom Calculator'!$E$12*-1),"Years Until Retirement",
IF(D61=0,"Retirement",
""))</f>
        <v/>
      </c>
      <c r="F61" s="121" t="str">
        <f t="shared" si="5"/>
        <v/>
      </c>
      <c r="G61" s="121" t="str">
        <f t="shared" si="12"/>
        <v/>
      </c>
      <c r="H61" s="126">
        <f t="shared" si="13"/>
        <v>163445.18701627007</v>
      </c>
      <c r="I61" s="127">
        <f t="shared" si="14"/>
        <v>-1212956.1298533892</v>
      </c>
      <c r="J61" s="124">
        <f t="shared" si="15"/>
        <v>621553.22897932958</v>
      </c>
      <c r="K61" s="124" t="e">
        <f t="shared" si="10"/>
        <v>#N/A</v>
      </c>
      <c r="L61" s="125">
        <f t="shared" si="16"/>
        <v>-1212956.1298533892</v>
      </c>
      <c r="M61" s="124" t="e">
        <f t="shared" si="17"/>
        <v>#N/A</v>
      </c>
      <c r="N61" s="12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</row>
    <row r="62" spans="1:42" ht="18.75">
      <c r="A62" s="136"/>
      <c r="B62" s="135"/>
      <c r="D62" s="120">
        <f t="shared" si="11"/>
        <v>27</v>
      </c>
      <c r="E62" s="121" t="str">
        <f>IF(D62=('Financial Freedom Calculator'!$E$12*-1),"Years Until Retirement",
IF(D62=0,"Retirement",
""))</f>
        <v/>
      </c>
      <c r="F62" s="121" t="str">
        <f t="shared" si="5"/>
        <v/>
      </c>
      <c r="G62" s="121" t="str">
        <f t="shared" si="12"/>
        <v/>
      </c>
      <c r="H62" s="126">
        <f t="shared" si="13"/>
        <v>166714.09075659548</v>
      </c>
      <c r="I62" s="127">
        <f t="shared" si="14"/>
        <v>-1379670.2206099848</v>
      </c>
      <c r="J62" s="124">
        <f t="shared" si="15"/>
        <v>486677.8778983255</v>
      </c>
      <c r="K62" s="124" t="e">
        <f t="shared" si="10"/>
        <v>#N/A</v>
      </c>
      <c r="L62" s="125">
        <f t="shared" si="16"/>
        <v>-1379670.2206099848</v>
      </c>
      <c r="M62" s="124" t="e">
        <f t="shared" si="17"/>
        <v>#N/A</v>
      </c>
      <c r="N62" s="12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</row>
    <row r="63" spans="1:42" ht="18.75">
      <c r="A63" s="136"/>
      <c r="B63" s="135"/>
      <c r="D63" s="120">
        <f t="shared" si="11"/>
        <v>28</v>
      </c>
      <c r="E63" s="121" t="str">
        <f>IF(D63=('Financial Freedom Calculator'!$E$12*-1),"Years Until Retirement",
IF(D63=0,"Retirement",
""))</f>
        <v/>
      </c>
      <c r="F63" s="121" t="str">
        <f t="shared" si="5"/>
        <v/>
      </c>
      <c r="G63" s="121" t="str">
        <f t="shared" si="12"/>
        <v/>
      </c>
      <c r="H63" s="126">
        <f t="shared" si="13"/>
        <v>170048.37257172741</v>
      </c>
      <c r="I63" s="127">
        <f t="shared" si="14"/>
        <v>-1549718.5931817123</v>
      </c>
      <c r="J63" s="124">
        <f t="shared" si="15"/>
        <v>338793.57069945993</v>
      </c>
      <c r="K63" s="124" t="e">
        <f t="shared" si="10"/>
        <v>#N/A</v>
      </c>
      <c r="L63" s="125">
        <f t="shared" si="16"/>
        <v>-1549718.5931817123</v>
      </c>
      <c r="M63" s="124" t="e">
        <f t="shared" si="17"/>
        <v>#N/A</v>
      </c>
      <c r="N63" s="12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</row>
    <row r="64" spans="1:42" ht="18.75">
      <c r="A64" s="136"/>
      <c r="B64" s="135"/>
      <c r="D64" s="120">
        <f t="shared" si="11"/>
        <v>29</v>
      </c>
      <c r="E64" s="121" t="str">
        <f>IF(D64=('Financial Freedom Calculator'!$E$12*-1),"Years Until Retirement",
IF(D64=0,"Retirement",
""))</f>
        <v/>
      </c>
      <c r="F64" s="121" t="str">
        <f t="shared" si="5"/>
        <v/>
      </c>
      <c r="G64" s="121" t="str">
        <f t="shared" si="12"/>
        <v/>
      </c>
      <c r="H64" s="126">
        <f t="shared" si="13"/>
        <v>173449.34002316196</v>
      </c>
      <c r="I64" s="127">
        <f t="shared" si="14"/>
        <v>-1723167.9332048744</v>
      </c>
      <c r="J64" s="124">
        <f t="shared" si="15"/>
        <v>176918.32682363884</v>
      </c>
      <c r="K64" s="124" t="e">
        <f t="shared" si="10"/>
        <v>#N/A</v>
      </c>
      <c r="L64" s="125">
        <f t="shared" si="16"/>
        <v>-1723167.9332048744</v>
      </c>
      <c r="M64" s="124" t="e">
        <f t="shared" si="17"/>
        <v>#N/A</v>
      </c>
      <c r="N64" s="12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</row>
    <row r="65" spans="1:42" ht="18.75">
      <c r="A65" s="136"/>
      <c r="B65" s="135"/>
      <c r="D65" s="120">
        <f t="shared" si="11"/>
        <v>30</v>
      </c>
      <c r="E65" s="121" t="str">
        <f>IF(D65=('Financial Freedom Calculator'!$E$12*-1),"Years Until Retirement",
IF(D65=0,"Retirement",
""))</f>
        <v/>
      </c>
      <c r="F65" s="121" t="str">
        <f t="shared" si="5"/>
        <v/>
      </c>
      <c r="G65" s="121">
        <f t="shared" si="12"/>
        <v>30</v>
      </c>
      <c r="H65" s="126">
        <f t="shared" si="13"/>
        <v>176918.32682362519</v>
      </c>
      <c r="I65" s="127">
        <f t="shared" si="14"/>
        <v>-1900086.2600284996</v>
      </c>
      <c r="J65" s="124">
        <f t="shared" si="15"/>
        <v>1.4605175238102676E-8</v>
      </c>
      <c r="K65" s="124" t="e">
        <f t="shared" si="10"/>
        <v>#N/A</v>
      </c>
      <c r="L65" s="125">
        <f t="shared" si="16"/>
        <v>-1900086.2600284996</v>
      </c>
      <c r="M65" s="124" t="e">
        <f t="shared" si="17"/>
        <v>#N/A</v>
      </c>
      <c r="N65" s="12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</row>
    <row r="66" spans="1:42" ht="18.75">
      <c r="A66" s="136"/>
      <c r="B66" s="135"/>
      <c r="D66" s="120" t="str">
        <f t="shared" si="11"/>
        <v/>
      </c>
      <c r="E66" s="121" t="str">
        <f>IF(D66=('Financial Freedom Calculator'!$E$12*-1),"Years Until Retirement",
IF(D66=0,"Retirement",
""))</f>
        <v/>
      </c>
      <c r="F66" s="121" t="str">
        <f t="shared" si="5"/>
        <v/>
      </c>
      <c r="G66" s="121" t="str">
        <f t="shared" si="12"/>
        <v/>
      </c>
      <c r="H66" s="126" t="str">
        <f t="shared" si="13"/>
        <v/>
      </c>
      <c r="I66" s="127" t="str">
        <f t="shared" si="14"/>
        <v>Back to Top</v>
      </c>
      <c r="J66" s="124" t="str">
        <f t="shared" si="15"/>
        <v/>
      </c>
      <c r="K66" s="124" t="e">
        <f t="shared" si="10"/>
        <v>#N/A</v>
      </c>
      <c r="L66" s="125" t="e">
        <f t="shared" si="16"/>
        <v>#N/A</v>
      </c>
      <c r="M66" s="124" t="e">
        <f t="shared" si="17"/>
        <v>#N/A</v>
      </c>
      <c r="N66" s="122"/>
      <c r="O66" s="14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</row>
    <row r="67" spans="1:42" ht="18.75">
      <c r="A67" s="136"/>
      <c r="B67" s="135"/>
      <c r="D67" s="120" t="str">
        <f t="shared" si="11"/>
        <v/>
      </c>
      <c r="E67" s="121" t="str">
        <f>IF(D67=('Financial Freedom Calculator'!$E$12*-1),"Years Until Retirement",
IF(D67=0,"Retirement",
""))</f>
        <v/>
      </c>
      <c r="F67" s="121" t="str">
        <f t="shared" si="5"/>
        <v/>
      </c>
      <c r="G67" s="121" t="str">
        <f t="shared" si="12"/>
        <v/>
      </c>
      <c r="H67" s="126" t="str">
        <f t="shared" si="13"/>
        <v/>
      </c>
      <c r="I67" s="127" t="str">
        <f t="shared" si="14"/>
        <v/>
      </c>
      <c r="J67" s="124" t="str">
        <f t="shared" si="15"/>
        <v/>
      </c>
      <c r="K67" s="124" t="e">
        <f t="shared" si="10"/>
        <v>#N/A</v>
      </c>
      <c r="L67" s="125" t="e">
        <f t="shared" si="16"/>
        <v>#N/A</v>
      </c>
      <c r="M67" s="124" t="e">
        <f t="shared" si="17"/>
        <v>#N/A</v>
      </c>
      <c r="N67" s="122"/>
      <c r="O67" s="14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</row>
    <row r="68" spans="1:42" ht="18.75">
      <c r="A68" s="136"/>
      <c r="B68" s="135"/>
      <c r="D68" s="120" t="str">
        <f t="shared" si="11"/>
        <v/>
      </c>
      <c r="E68" s="121" t="str">
        <f>IF(D68=('Financial Freedom Calculator'!$E$12*-1),"Years Until Retirement",
IF(D68=0,"Retirement",
""))</f>
        <v/>
      </c>
      <c r="F68" s="121" t="str">
        <f t="shared" si="5"/>
        <v/>
      </c>
      <c r="G68" s="121" t="str">
        <f t="shared" si="12"/>
        <v/>
      </c>
      <c r="H68" s="126" t="str">
        <f t="shared" si="13"/>
        <v/>
      </c>
      <c r="I68" s="127" t="str">
        <f t="shared" si="14"/>
        <v/>
      </c>
      <c r="J68" s="124" t="str">
        <f t="shared" si="15"/>
        <v/>
      </c>
      <c r="K68" s="124" t="e">
        <f t="shared" si="10"/>
        <v>#N/A</v>
      </c>
      <c r="L68" s="125" t="e">
        <f t="shared" si="16"/>
        <v>#N/A</v>
      </c>
      <c r="M68" s="124" t="e">
        <f t="shared" si="17"/>
        <v>#N/A</v>
      </c>
      <c r="N68" s="122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</row>
    <row r="69" spans="1:42" ht="18.75">
      <c r="A69" s="136"/>
      <c r="B69" s="135"/>
      <c r="D69" s="120" t="str">
        <f t="shared" si="11"/>
        <v/>
      </c>
      <c r="E69" s="121" t="str">
        <f>IF(D69=('Financial Freedom Calculator'!$E$12*-1),"Years Until Retirement",
IF(D69=0,"Retirement",
""))</f>
        <v/>
      </c>
      <c r="F69" s="121" t="str">
        <f t="shared" si="5"/>
        <v/>
      </c>
      <c r="G69" s="121" t="str">
        <f t="shared" si="12"/>
        <v/>
      </c>
      <c r="H69" s="126" t="str">
        <f t="shared" si="13"/>
        <v/>
      </c>
      <c r="I69" s="127" t="str">
        <f t="shared" si="14"/>
        <v/>
      </c>
      <c r="J69" s="124" t="str">
        <f t="shared" ref="J69:J100" si="18">IF(AND(D69&lt;=life_span,D69&gt;=-years_left),
        IF(D69&gt;0,(J68-H69)*(1+return_rate),
           IF(D69&lt;=0,J68*(1+return_rate)+deposits+add_savings,"")),"")</f>
        <v/>
      </c>
      <c r="K69" s="124" t="e">
        <f t="shared" ref="K69:K100" si="19">IF(AND(D69&lt;&gt;"",I69&gt;=0),I69,
#N/A)</f>
        <v>#N/A</v>
      </c>
      <c r="L69" s="125" t="e">
        <f t="shared" si="16"/>
        <v>#N/A</v>
      </c>
      <c r="M69" s="124" t="e">
        <f t="shared" si="17"/>
        <v>#N/A</v>
      </c>
      <c r="N69" s="122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</row>
    <row r="70" spans="1:42" ht="18.75">
      <c r="A70" s="136"/>
      <c r="B70" s="135"/>
      <c r="D70" s="120" t="str">
        <f t="shared" si="11"/>
        <v/>
      </c>
      <c r="E70" s="121" t="str">
        <f>IF(D70=('Financial Freedom Calculator'!$E$12*-1),"Years Until Retirement",
IF(D70=0,"Retirement",
""))</f>
        <v/>
      </c>
      <c r="F70" s="121" t="str">
        <f t="shared" ref="F70:F133" si="20">IF(ROW(F70)-4=50,"Retirement","")</f>
        <v/>
      </c>
      <c r="G70" s="121" t="str">
        <f t="shared" ref="G70:G101" si="21">IFERROR(ABS(IF(OR(D70=ROUNDUP($D$5*0.75,0),D70=ROUNDUP($D$5*0.5,0),D70=ROUNDUP($D$5*0.25,0),
D70=0,D70=life_span,D70=ROUNDUP(life_span*0.75,0),D70=ROUNDUP(life_span*0.5,0),D70=ROUNDUP(life_span*0.25,0)),D70,"")),"")</f>
        <v/>
      </c>
      <c r="H70" s="126" t="str">
        <f t="shared" ref="H70:H101" si="22">IF(D70=1,future_income,
IF(D70&lt;1,0,
IF(D70&gt;life_span,"",
H69*(1+inflation_rate))))</f>
        <v/>
      </c>
      <c r="I70" s="127" t="str">
        <f t="shared" ref="I70:I101" si="23" xml:space="preserve">
IF(AND(D70="",D69&lt;&gt;""),
HYPERLINK("#home","Back to Top"),
IF(IF(AND($D70&lt;=life_span,$D70&lt;&gt;""),($I69-IF($H70="",0,$H70))*(1+return_rate)
+IF($D70&lt;=0,deposits,0),"")&lt;0,$I69-$H70,
IF(AND($D70&lt;=life_span,$D70&lt;&gt;""),($I69-IF($H70="",0,$H70))*(1+return_rate)
+IF($D70&lt;=0,deposits,0),"")))</f>
        <v/>
      </c>
      <c r="J70" s="124" t="str">
        <f t="shared" si="18"/>
        <v/>
      </c>
      <c r="K70" s="124" t="e">
        <f t="shared" si="19"/>
        <v>#N/A</v>
      </c>
      <c r="L70" s="125" t="e">
        <f t="shared" si="16"/>
        <v>#N/A</v>
      </c>
      <c r="M70" s="124" t="e">
        <f t="shared" si="17"/>
        <v>#N/A</v>
      </c>
      <c r="O70" s="142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</row>
    <row r="71" spans="1:42" ht="18.75">
      <c r="A71" s="136"/>
      <c r="B71" s="135"/>
      <c r="D71" s="120" t="str">
        <f t="shared" si="11"/>
        <v/>
      </c>
      <c r="E71" s="121" t="str">
        <f>IF(D71=('Financial Freedom Calculator'!$E$12*-1),"Years Until Retirement",
IF(D71=0,"Retirement",
""))</f>
        <v/>
      </c>
      <c r="F71" s="121" t="str">
        <f t="shared" si="20"/>
        <v/>
      </c>
      <c r="G71" s="121" t="str">
        <f t="shared" si="21"/>
        <v/>
      </c>
      <c r="H71" s="126" t="str">
        <f t="shared" si="22"/>
        <v/>
      </c>
      <c r="I71" s="127" t="str">
        <f t="shared" si="23"/>
        <v/>
      </c>
      <c r="J71" s="124" t="str">
        <f t="shared" si="18"/>
        <v/>
      </c>
      <c r="K71" s="124" t="e">
        <f t="shared" si="19"/>
        <v>#N/A</v>
      </c>
      <c r="L71" s="125" t="e">
        <f t="shared" si="16"/>
        <v>#N/A</v>
      </c>
      <c r="M71" s="124" t="e">
        <f t="shared" si="17"/>
        <v>#N/A</v>
      </c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</row>
    <row r="72" spans="1:42" ht="18.75">
      <c r="A72" s="136"/>
      <c r="B72" s="135"/>
      <c r="D72" s="120" t="str">
        <f t="shared" si="11"/>
        <v/>
      </c>
      <c r="E72" s="121" t="str">
        <f>IF(D72=('Financial Freedom Calculator'!$E$12*-1),"Years Until Retirement",
IF(D72=0,"Retirement",
""))</f>
        <v/>
      </c>
      <c r="F72" s="121" t="str">
        <f t="shared" si="20"/>
        <v/>
      </c>
      <c r="G72" s="121" t="str">
        <f t="shared" si="21"/>
        <v/>
      </c>
      <c r="H72" s="126" t="str">
        <f t="shared" si="22"/>
        <v/>
      </c>
      <c r="I72" s="127" t="str">
        <f t="shared" si="23"/>
        <v/>
      </c>
      <c r="J72" s="124" t="str">
        <f t="shared" si="18"/>
        <v/>
      </c>
      <c r="K72" s="124" t="e">
        <f t="shared" si="19"/>
        <v>#N/A</v>
      </c>
      <c r="L72" s="125" t="e">
        <f t="shared" si="16"/>
        <v>#N/A</v>
      </c>
      <c r="M72" s="124" t="e">
        <f t="shared" si="17"/>
        <v>#N/A</v>
      </c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</row>
    <row r="73" spans="1:42" ht="18.75">
      <c r="A73" s="136"/>
      <c r="B73" s="135"/>
      <c r="D73" s="120" t="str">
        <f t="shared" si="11"/>
        <v/>
      </c>
      <c r="E73" s="121" t="str">
        <f>IF(D73=('Financial Freedom Calculator'!$E$12*-1),"Years Until Retirement",
IF(D73=0,"Retirement",
""))</f>
        <v/>
      </c>
      <c r="F73" s="121" t="str">
        <f t="shared" si="20"/>
        <v/>
      </c>
      <c r="G73" s="121" t="str">
        <f t="shared" si="21"/>
        <v/>
      </c>
      <c r="H73" s="126" t="str">
        <f t="shared" si="22"/>
        <v/>
      </c>
      <c r="I73" s="127" t="str">
        <f t="shared" si="23"/>
        <v/>
      </c>
      <c r="J73" s="124" t="str">
        <f t="shared" si="18"/>
        <v/>
      </c>
      <c r="K73" s="124" t="e">
        <f t="shared" si="19"/>
        <v>#N/A</v>
      </c>
      <c r="L73" s="125" t="e">
        <f t="shared" si="16"/>
        <v>#N/A</v>
      </c>
      <c r="M73" s="124" t="e">
        <f t="shared" si="17"/>
        <v>#N/A</v>
      </c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</row>
    <row r="74" spans="1:42" ht="18.75">
      <c r="A74" s="136"/>
      <c r="B74" s="135"/>
      <c r="D74" s="120" t="str">
        <f t="shared" si="11"/>
        <v/>
      </c>
      <c r="E74" s="121" t="str">
        <f>IF(D74=('Financial Freedom Calculator'!$E$12*-1),"Years Until Retirement",
IF(D74=0,"Retirement",
""))</f>
        <v/>
      </c>
      <c r="F74" s="121" t="str">
        <f t="shared" si="20"/>
        <v/>
      </c>
      <c r="G74" s="121" t="str">
        <f t="shared" si="21"/>
        <v/>
      </c>
      <c r="H74" s="126" t="str">
        <f t="shared" si="22"/>
        <v/>
      </c>
      <c r="I74" s="127" t="str">
        <f t="shared" si="23"/>
        <v/>
      </c>
      <c r="J74" s="124" t="str">
        <f t="shared" si="18"/>
        <v/>
      </c>
      <c r="K74" s="124" t="e">
        <f t="shared" si="19"/>
        <v>#N/A</v>
      </c>
      <c r="L74" s="125" t="e">
        <f t="shared" si="16"/>
        <v>#N/A</v>
      </c>
      <c r="M74" s="124" t="e">
        <f t="shared" si="17"/>
        <v>#N/A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</row>
    <row r="75" spans="1:42" ht="18.75">
      <c r="A75" s="136"/>
      <c r="B75" s="135"/>
      <c r="D75" s="120" t="str">
        <f t="shared" si="11"/>
        <v/>
      </c>
      <c r="E75" s="121" t="str">
        <f>IF(D75=('Financial Freedom Calculator'!$E$12*-1),"Years Until Retirement",
IF(D75=0,"Retirement",
""))</f>
        <v/>
      </c>
      <c r="F75" s="121" t="str">
        <f t="shared" si="20"/>
        <v/>
      </c>
      <c r="G75" s="121" t="str">
        <f t="shared" si="21"/>
        <v/>
      </c>
      <c r="H75" s="126" t="str">
        <f t="shared" si="22"/>
        <v/>
      </c>
      <c r="I75" s="127" t="str">
        <f t="shared" si="23"/>
        <v/>
      </c>
      <c r="J75" s="124" t="str">
        <f t="shared" si="18"/>
        <v/>
      </c>
      <c r="K75" s="124" t="e">
        <f t="shared" si="19"/>
        <v>#N/A</v>
      </c>
      <c r="L75" s="125" t="e">
        <f t="shared" si="16"/>
        <v>#N/A</v>
      </c>
      <c r="M75" s="124" t="e">
        <f t="shared" si="17"/>
        <v>#N/A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</row>
    <row r="76" spans="1:42" ht="18.75">
      <c r="A76" s="136"/>
      <c r="B76" s="135"/>
      <c r="D76" s="120" t="str">
        <f t="shared" si="11"/>
        <v/>
      </c>
      <c r="E76" s="121" t="str">
        <f>IF(D76=('Financial Freedom Calculator'!$E$12*-1),"Years Until Retirement",
IF(D76=0,"Retirement",
""))</f>
        <v/>
      </c>
      <c r="F76" s="121" t="str">
        <f t="shared" si="20"/>
        <v/>
      </c>
      <c r="G76" s="121" t="str">
        <f t="shared" si="21"/>
        <v/>
      </c>
      <c r="H76" s="126" t="str">
        <f t="shared" si="22"/>
        <v/>
      </c>
      <c r="I76" s="127" t="str">
        <f t="shared" si="23"/>
        <v/>
      </c>
      <c r="J76" s="124" t="str">
        <f t="shared" si="18"/>
        <v/>
      </c>
      <c r="K76" s="124" t="e">
        <f t="shared" si="19"/>
        <v>#N/A</v>
      </c>
      <c r="L76" s="125" t="e">
        <f t="shared" si="16"/>
        <v>#N/A</v>
      </c>
      <c r="M76" s="124" t="e">
        <f t="shared" si="17"/>
        <v>#N/A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</row>
    <row r="77" spans="1:42" ht="18.75">
      <c r="A77" s="136"/>
      <c r="B77" s="135"/>
      <c r="D77" s="120" t="str">
        <f t="shared" si="11"/>
        <v/>
      </c>
      <c r="E77" s="121" t="str">
        <f>IF(D77=('Financial Freedom Calculator'!$E$12*-1),"Years Until Retirement",
IF(D77=0,"Retirement",
""))</f>
        <v/>
      </c>
      <c r="F77" s="121" t="str">
        <f t="shared" si="20"/>
        <v/>
      </c>
      <c r="G77" s="121" t="str">
        <f t="shared" si="21"/>
        <v/>
      </c>
      <c r="H77" s="126" t="str">
        <f t="shared" si="22"/>
        <v/>
      </c>
      <c r="I77" s="127" t="str">
        <f t="shared" si="23"/>
        <v/>
      </c>
      <c r="J77" s="124" t="str">
        <f t="shared" si="18"/>
        <v/>
      </c>
      <c r="K77" s="124" t="e">
        <f t="shared" si="19"/>
        <v>#N/A</v>
      </c>
      <c r="L77" s="125" t="e">
        <f t="shared" si="16"/>
        <v>#N/A</v>
      </c>
      <c r="M77" s="124" t="e">
        <f t="shared" si="17"/>
        <v>#N/A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</row>
    <row r="78" spans="1:42" ht="18.75">
      <c r="A78" s="136"/>
      <c r="B78" s="135"/>
      <c r="D78" s="120" t="str">
        <f t="shared" si="11"/>
        <v/>
      </c>
      <c r="E78" s="121" t="str">
        <f>IF(D78=('Financial Freedom Calculator'!$E$12*-1),"Years Until Retirement",
IF(D78=0,"Retirement",
""))</f>
        <v/>
      </c>
      <c r="F78" s="121" t="str">
        <f t="shared" si="20"/>
        <v/>
      </c>
      <c r="G78" s="121" t="str">
        <f t="shared" si="21"/>
        <v/>
      </c>
      <c r="H78" s="126" t="str">
        <f t="shared" si="22"/>
        <v/>
      </c>
      <c r="I78" s="127" t="str">
        <f t="shared" si="23"/>
        <v/>
      </c>
      <c r="J78" s="124" t="str">
        <f t="shared" si="18"/>
        <v/>
      </c>
      <c r="K78" s="124" t="e">
        <f t="shared" si="19"/>
        <v>#N/A</v>
      </c>
      <c r="L78" s="125" t="e">
        <f t="shared" si="16"/>
        <v>#N/A</v>
      </c>
      <c r="M78" s="124" t="e">
        <f t="shared" si="17"/>
        <v>#N/A</v>
      </c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</row>
    <row r="79" spans="1:42" ht="18.75">
      <c r="A79" s="136"/>
      <c r="B79" s="135"/>
      <c r="D79" s="120" t="str">
        <f t="shared" si="11"/>
        <v/>
      </c>
      <c r="E79" s="121" t="str">
        <f>IF(D79=('Financial Freedom Calculator'!$E$12*-1),"Years Until Retirement",
IF(D79=0,"Retirement",
""))</f>
        <v/>
      </c>
      <c r="F79" s="121" t="str">
        <f t="shared" si="20"/>
        <v/>
      </c>
      <c r="G79" s="121" t="str">
        <f t="shared" si="21"/>
        <v/>
      </c>
      <c r="H79" s="126" t="str">
        <f t="shared" si="22"/>
        <v/>
      </c>
      <c r="I79" s="127" t="str">
        <f t="shared" si="23"/>
        <v/>
      </c>
      <c r="J79" s="124" t="str">
        <f t="shared" si="18"/>
        <v/>
      </c>
      <c r="K79" s="124" t="e">
        <f t="shared" si="19"/>
        <v>#N/A</v>
      </c>
      <c r="L79" s="125" t="e">
        <f t="shared" si="16"/>
        <v>#N/A</v>
      </c>
      <c r="M79" s="124" t="e">
        <f t="shared" si="17"/>
        <v>#N/A</v>
      </c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</row>
    <row r="80" spans="1:42" ht="18.75">
      <c r="A80" s="136"/>
      <c r="B80" s="135"/>
      <c r="D80" s="120" t="str">
        <f t="shared" si="11"/>
        <v/>
      </c>
      <c r="E80" s="121" t="str">
        <f>IF(D80=('Financial Freedom Calculator'!$E$12*-1),"Years Until Retirement",
IF(D80=0,"Retirement",
""))</f>
        <v/>
      </c>
      <c r="F80" s="121" t="str">
        <f t="shared" si="20"/>
        <v/>
      </c>
      <c r="G80" s="121" t="str">
        <f t="shared" si="21"/>
        <v/>
      </c>
      <c r="H80" s="126" t="str">
        <f t="shared" si="22"/>
        <v/>
      </c>
      <c r="I80" s="127" t="str">
        <f t="shared" si="23"/>
        <v/>
      </c>
      <c r="J80" s="124" t="str">
        <f t="shared" si="18"/>
        <v/>
      </c>
      <c r="K80" s="124" t="e">
        <f t="shared" si="19"/>
        <v>#N/A</v>
      </c>
      <c r="L80" s="125" t="e">
        <f t="shared" si="16"/>
        <v>#N/A</v>
      </c>
      <c r="M80" s="124" t="e">
        <f t="shared" si="17"/>
        <v>#N/A</v>
      </c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</row>
    <row r="81" spans="1:42" ht="18.75">
      <c r="A81" s="136"/>
      <c r="B81" s="135"/>
      <c r="D81" s="120" t="str">
        <f t="shared" si="11"/>
        <v/>
      </c>
      <c r="E81" s="121" t="str">
        <f>IF(D81=('Financial Freedom Calculator'!$E$12*-1),"Years Until Retirement",
IF(D81=0,"Retirement",
""))</f>
        <v/>
      </c>
      <c r="F81" s="121" t="str">
        <f t="shared" si="20"/>
        <v/>
      </c>
      <c r="G81" s="121" t="str">
        <f t="shared" si="21"/>
        <v/>
      </c>
      <c r="H81" s="126" t="str">
        <f t="shared" si="22"/>
        <v/>
      </c>
      <c r="I81" s="127" t="str">
        <f t="shared" si="23"/>
        <v/>
      </c>
      <c r="J81" s="124" t="str">
        <f t="shared" si="18"/>
        <v/>
      </c>
      <c r="K81" s="124" t="e">
        <f t="shared" si="19"/>
        <v>#N/A</v>
      </c>
      <c r="L81" s="125" t="e">
        <f t="shared" si="16"/>
        <v>#N/A</v>
      </c>
      <c r="M81" s="124" t="e">
        <f t="shared" si="17"/>
        <v>#N/A</v>
      </c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</row>
    <row r="82" spans="1:42" ht="18.75">
      <c r="A82" s="136"/>
      <c r="B82" s="135"/>
      <c r="D82" s="120" t="str">
        <f t="shared" si="11"/>
        <v/>
      </c>
      <c r="E82" s="121" t="str">
        <f>IF(D82=('Financial Freedom Calculator'!$E$12*-1),"Years Until Retirement",
IF(D82=0,"Retirement",
""))</f>
        <v/>
      </c>
      <c r="F82" s="121" t="str">
        <f t="shared" si="20"/>
        <v/>
      </c>
      <c r="G82" s="121" t="str">
        <f t="shared" si="21"/>
        <v/>
      </c>
      <c r="H82" s="126" t="str">
        <f t="shared" si="22"/>
        <v/>
      </c>
      <c r="I82" s="127" t="str">
        <f t="shared" si="23"/>
        <v/>
      </c>
      <c r="J82" s="124" t="str">
        <f t="shared" si="18"/>
        <v/>
      </c>
      <c r="K82" s="124" t="e">
        <f t="shared" si="19"/>
        <v>#N/A</v>
      </c>
      <c r="L82" s="125" t="e">
        <f t="shared" si="16"/>
        <v>#N/A</v>
      </c>
      <c r="M82" s="124" t="e">
        <f t="shared" si="17"/>
        <v>#N/A</v>
      </c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</row>
    <row r="83" spans="1:42" ht="18.75">
      <c r="A83" s="136"/>
      <c r="B83" s="135"/>
      <c r="D83" s="120" t="str">
        <f t="shared" si="11"/>
        <v/>
      </c>
      <c r="E83" s="121" t="str">
        <f>IF(D83=('Financial Freedom Calculator'!$E$12*-1),"Years Until Retirement",
IF(D83=0,"Retirement",
""))</f>
        <v/>
      </c>
      <c r="F83" s="121" t="str">
        <f t="shared" si="20"/>
        <v/>
      </c>
      <c r="G83" s="121" t="str">
        <f t="shared" si="21"/>
        <v/>
      </c>
      <c r="H83" s="126" t="str">
        <f t="shared" si="22"/>
        <v/>
      </c>
      <c r="I83" s="127" t="str">
        <f t="shared" si="23"/>
        <v/>
      </c>
      <c r="J83" s="124" t="str">
        <f t="shared" si="18"/>
        <v/>
      </c>
      <c r="K83" s="124" t="e">
        <f t="shared" si="19"/>
        <v>#N/A</v>
      </c>
      <c r="L83" s="125" t="e">
        <f t="shared" si="16"/>
        <v>#N/A</v>
      </c>
      <c r="M83" s="124" t="e">
        <f t="shared" si="17"/>
        <v>#N/A</v>
      </c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</row>
    <row r="84" spans="1:42" ht="18.75">
      <c r="A84" s="136"/>
      <c r="B84" s="135"/>
      <c r="D84" s="120" t="str">
        <f t="shared" si="11"/>
        <v/>
      </c>
      <c r="E84" s="121" t="str">
        <f>IF(D84=('Financial Freedom Calculator'!$E$12*-1),"Years Until Retirement",
IF(D84=0,"Retirement",
""))</f>
        <v/>
      </c>
      <c r="F84" s="121" t="str">
        <f t="shared" si="20"/>
        <v/>
      </c>
      <c r="G84" s="121" t="str">
        <f t="shared" si="21"/>
        <v/>
      </c>
      <c r="H84" s="126" t="str">
        <f t="shared" si="22"/>
        <v/>
      </c>
      <c r="I84" s="127" t="str">
        <f t="shared" si="23"/>
        <v/>
      </c>
      <c r="J84" s="124" t="str">
        <f t="shared" si="18"/>
        <v/>
      </c>
      <c r="K84" s="124" t="e">
        <f t="shared" si="19"/>
        <v>#N/A</v>
      </c>
      <c r="L84" s="125" t="e">
        <f t="shared" si="16"/>
        <v>#N/A</v>
      </c>
      <c r="M84" s="124" t="e">
        <f t="shared" si="17"/>
        <v>#N/A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</row>
    <row r="85" spans="1:42" ht="18.75">
      <c r="A85" s="136"/>
      <c r="B85" s="135"/>
      <c r="D85" s="120" t="str">
        <f t="shared" si="11"/>
        <v/>
      </c>
      <c r="E85" s="121" t="str">
        <f>IF(D85=('Financial Freedom Calculator'!$E$12*-1),"Years Until Retirement",
IF(D85=0,"Retirement",
""))</f>
        <v/>
      </c>
      <c r="F85" s="121" t="str">
        <f t="shared" si="20"/>
        <v/>
      </c>
      <c r="G85" s="121" t="str">
        <f t="shared" si="21"/>
        <v/>
      </c>
      <c r="H85" s="126" t="str">
        <f t="shared" si="22"/>
        <v/>
      </c>
      <c r="I85" s="127" t="str">
        <f t="shared" si="23"/>
        <v/>
      </c>
      <c r="J85" s="124" t="str">
        <f t="shared" si="18"/>
        <v/>
      </c>
      <c r="K85" s="124" t="e">
        <f t="shared" si="19"/>
        <v>#N/A</v>
      </c>
      <c r="L85" s="125" t="e">
        <f t="shared" si="16"/>
        <v>#N/A</v>
      </c>
      <c r="M85" s="124" t="e">
        <f t="shared" si="17"/>
        <v>#N/A</v>
      </c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</row>
    <row r="86" spans="1:42" ht="18.75">
      <c r="A86" s="136"/>
      <c r="B86" s="135"/>
      <c r="D86" s="120" t="str">
        <f t="shared" si="11"/>
        <v/>
      </c>
      <c r="E86" s="121" t="str">
        <f>IF(D86=('Financial Freedom Calculator'!$E$12*-1),"Years Until Retirement",
IF(D86=0,"Retirement",
""))</f>
        <v/>
      </c>
      <c r="F86" s="121" t="str">
        <f t="shared" si="20"/>
        <v/>
      </c>
      <c r="G86" s="121" t="str">
        <f t="shared" si="21"/>
        <v/>
      </c>
      <c r="H86" s="126" t="str">
        <f t="shared" si="22"/>
        <v/>
      </c>
      <c r="I86" s="127" t="str">
        <f t="shared" si="23"/>
        <v/>
      </c>
      <c r="J86" s="124" t="str">
        <f t="shared" si="18"/>
        <v/>
      </c>
      <c r="K86" s="124" t="e">
        <f t="shared" si="19"/>
        <v>#N/A</v>
      </c>
      <c r="L86" s="125" t="e">
        <f t="shared" si="16"/>
        <v>#N/A</v>
      </c>
      <c r="M86" s="124" t="e">
        <f t="shared" si="17"/>
        <v>#N/A</v>
      </c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</row>
    <row r="87" spans="1:42" ht="18.75">
      <c r="A87" s="136"/>
      <c r="B87" s="135"/>
      <c r="D87" s="120" t="str">
        <f t="shared" si="11"/>
        <v/>
      </c>
      <c r="E87" s="121" t="str">
        <f>IF(D87=('Financial Freedom Calculator'!$E$12*-1),"Years Until Retirement",
IF(D87=0,"Retirement",
""))</f>
        <v/>
      </c>
      <c r="F87" s="121" t="str">
        <f t="shared" si="20"/>
        <v/>
      </c>
      <c r="G87" s="121" t="str">
        <f t="shared" si="21"/>
        <v/>
      </c>
      <c r="H87" s="126" t="str">
        <f t="shared" si="22"/>
        <v/>
      </c>
      <c r="I87" s="127" t="str">
        <f t="shared" si="23"/>
        <v/>
      </c>
      <c r="J87" s="124" t="str">
        <f t="shared" si="18"/>
        <v/>
      </c>
      <c r="K87" s="124" t="e">
        <f t="shared" si="19"/>
        <v>#N/A</v>
      </c>
      <c r="L87" s="125" t="e">
        <f t="shared" si="16"/>
        <v>#N/A</v>
      </c>
      <c r="M87" s="124" t="e">
        <f t="shared" si="17"/>
        <v>#N/A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</row>
    <row r="88" spans="1:42" ht="18.75">
      <c r="A88" s="136"/>
      <c r="B88" s="135"/>
      <c r="D88" s="120" t="str">
        <f t="shared" si="11"/>
        <v/>
      </c>
      <c r="E88" s="121" t="str">
        <f>IF(D88=('Financial Freedom Calculator'!$E$12*-1),"Years Until Retirement",
IF(D88=0,"Retirement",
""))</f>
        <v/>
      </c>
      <c r="F88" s="121" t="str">
        <f t="shared" si="20"/>
        <v/>
      </c>
      <c r="G88" s="121" t="str">
        <f t="shared" si="21"/>
        <v/>
      </c>
      <c r="H88" s="126" t="str">
        <f t="shared" si="22"/>
        <v/>
      </c>
      <c r="I88" s="127" t="str">
        <f t="shared" si="23"/>
        <v/>
      </c>
      <c r="J88" s="124" t="str">
        <f t="shared" si="18"/>
        <v/>
      </c>
      <c r="K88" s="124" t="e">
        <f t="shared" si="19"/>
        <v>#N/A</v>
      </c>
      <c r="L88" s="125" t="e">
        <f t="shared" si="16"/>
        <v>#N/A</v>
      </c>
      <c r="M88" s="124" t="e">
        <f t="shared" si="17"/>
        <v>#N/A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</row>
    <row r="89" spans="1:42" ht="18.75">
      <c r="A89" s="136"/>
      <c r="B89" s="135"/>
      <c r="D89" s="120" t="str">
        <f t="shared" si="11"/>
        <v/>
      </c>
      <c r="E89" s="121" t="str">
        <f>IF(D89=('Financial Freedom Calculator'!$E$12*-1),"Years Until Retirement",
IF(D89=0,"Retirement",
""))</f>
        <v/>
      </c>
      <c r="F89" s="121" t="str">
        <f t="shared" si="20"/>
        <v/>
      </c>
      <c r="G89" s="121" t="str">
        <f t="shared" si="21"/>
        <v/>
      </c>
      <c r="H89" s="126" t="str">
        <f t="shared" si="22"/>
        <v/>
      </c>
      <c r="I89" s="127" t="str">
        <f t="shared" si="23"/>
        <v/>
      </c>
      <c r="J89" s="124" t="str">
        <f t="shared" si="18"/>
        <v/>
      </c>
      <c r="K89" s="124" t="e">
        <f t="shared" si="19"/>
        <v>#N/A</v>
      </c>
      <c r="L89" s="125" t="e">
        <f t="shared" si="16"/>
        <v>#N/A</v>
      </c>
      <c r="M89" s="124" t="e">
        <f t="shared" si="17"/>
        <v>#N/A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</row>
    <row r="90" spans="1:42" ht="18.75">
      <c r="A90" s="136"/>
      <c r="B90" s="135"/>
      <c r="D90" s="120" t="str">
        <f t="shared" si="11"/>
        <v/>
      </c>
      <c r="E90" s="121" t="str">
        <f>IF(D90=('Financial Freedom Calculator'!$E$12*-1),"Years Until Retirement",
IF(D90=0,"Retirement",
""))</f>
        <v/>
      </c>
      <c r="F90" s="121" t="str">
        <f t="shared" si="20"/>
        <v/>
      </c>
      <c r="G90" s="121" t="str">
        <f t="shared" si="21"/>
        <v/>
      </c>
      <c r="H90" s="126" t="str">
        <f t="shared" si="22"/>
        <v/>
      </c>
      <c r="I90" s="127" t="str">
        <f t="shared" si="23"/>
        <v/>
      </c>
      <c r="J90" s="124" t="str">
        <f t="shared" si="18"/>
        <v/>
      </c>
      <c r="K90" s="124" t="e">
        <f t="shared" si="19"/>
        <v>#N/A</v>
      </c>
      <c r="L90" s="125" t="e">
        <f t="shared" si="16"/>
        <v>#N/A</v>
      </c>
      <c r="M90" s="124" t="e">
        <f t="shared" si="17"/>
        <v>#N/A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</row>
    <row r="91" spans="1:42" ht="18.75">
      <c r="A91" s="136"/>
      <c r="B91" s="135"/>
      <c r="D91" s="120" t="str">
        <f t="shared" si="11"/>
        <v/>
      </c>
      <c r="E91" s="121" t="str">
        <f>IF(D91=('Financial Freedom Calculator'!$E$12*-1),"Years Until Retirement",
IF(D91=0,"Retirement",
""))</f>
        <v/>
      </c>
      <c r="F91" s="121" t="str">
        <f t="shared" si="20"/>
        <v/>
      </c>
      <c r="G91" s="121" t="str">
        <f t="shared" si="21"/>
        <v/>
      </c>
      <c r="H91" s="126" t="str">
        <f t="shared" si="22"/>
        <v/>
      </c>
      <c r="I91" s="127" t="str">
        <f t="shared" si="23"/>
        <v/>
      </c>
      <c r="J91" s="124" t="str">
        <f t="shared" si="18"/>
        <v/>
      </c>
      <c r="K91" s="124" t="e">
        <f t="shared" si="19"/>
        <v>#N/A</v>
      </c>
      <c r="L91" s="125" t="e">
        <f t="shared" si="16"/>
        <v>#N/A</v>
      </c>
      <c r="M91" s="124" t="e">
        <f t="shared" si="17"/>
        <v>#N/A</v>
      </c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</row>
    <row r="92" spans="1:42" ht="18.75">
      <c r="A92" s="136"/>
      <c r="B92" s="135"/>
      <c r="D92" s="120" t="str">
        <f t="shared" si="11"/>
        <v/>
      </c>
      <c r="E92" s="121" t="str">
        <f>IF(D92=('Financial Freedom Calculator'!$E$12*-1),"Years Until Retirement",
IF(D92=0,"Retirement",
""))</f>
        <v/>
      </c>
      <c r="F92" s="121" t="str">
        <f t="shared" si="20"/>
        <v/>
      </c>
      <c r="G92" s="121" t="str">
        <f t="shared" si="21"/>
        <v/>
      </c>
      <c r="H92" s="126" t="str">
        <f t="shared" si="22"/>
        <v/>
      </c>
      <c r="I92" s="127" t="str">
        <f t="shared" si="23"/>
        <v/>
      </c>
      <c r="J92" s="124" t="str">
        <f t="shared" si="18"/>
        <v/>
      </c>
      <c r="K92" s="124" t="e">
        <f t="shared" si="19"/>
        <v>#N/A</v>
      </c>
      <c r="L92" s="125" t="e">
        <f t="shared" si="16"/>
        <v>#N/A</v>
      </c>
      <c r="M92" s="124" t="e">
        <f t="shared" si="17"/>
        <v>#N/A</v>
      </c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</row>
    <row r="93" spans="1:42" ht="18.75">
      <c r="A93" s="136"/>
      <c r="B93" s="135"/>
      <c r="D93" s="120" t="str">
        <f t="shared" si="11"/>
        <v/>
      </c>
      <c r="E93" s="121" t="str">
        <f>IF(D93=('Financial Freedom Calculator'!$E$12*-1),"Years Until Retirement",
IF(D93=0,"Retirement",
""))</f>
        <v/>
      </c>
      <c r="F93" s="121" t="str">
        <f t="shared" si="20"/>
        <v/>
      </c>
      <c r="G93" s="121" t="str">
        <f t="shared" si="21"/>
        <v/>
      </c>
      <c r="H93" s="126" t="str">
        <f t="shared" si="22"/>
        <v/>
      </c>
      <c r="I93" s="127" t="str">
        <f t="shared" si="23"/>
        <v/>
      </c>
      <c r="J93" s="124" t="str">
        <f t="shared" si="18"/>
        <v/>
      </c>
      <c r="K93" s="124" t="e">
        <f t="shared" si="19"/>
        <v>#N/A</v>
      </c>
      <c r="L93" s="125" t="e">
        <f t="shared" si="16"/>
        <v>#N/A</v>
      </c>
      <c r="M93" s="124" t="e">
        <f t="shared" si="17"/>
        <v>#N/A</v>
      </c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</row>
    <row r="94" spans="1:42" ht="18.75">
      <c r="A94" s="136"/>
      <c r="B94" s="135"/>
      <c r="D94" s="120" t="str">
        <f t="shared" si="11"/>
        <v/>
      </c>
      <c r="E94" s="121" t="str">
        <f>IF(D94=('Financial Freedom Calculator'!$E$12*-1),"Years Until Retirement",
IF(D94=0,"Retirement",
""))</f>
        <v/>
      </c>
      <c r="F94" s="121" t="str">
        <f t="shared" si="20"/>
        <v/>
      </c>
      <c r="G94" s="121" t="str">
        <f t="shared" si="21"/>
        <v/>
      </c>
      <c r="H94" s="126" t="str">
        <f t="shared" si="22"/>
        <v/>
      </c>
      <c r="I94" s="127" t="str">
        <f t="shared" si="23"/>
        <v/>
      </c>
      <c r="J94" s="124" t="str">
        <f t="shared" si="18"/>
        <v/>
      </c>
      <c r="K94" s="124" t="e">
        <f t="shared" si="19"/>
        <v>#N/A</v>
      </c>
      <c r="L94" s="125" t="e">
        <f t="shared" si="16"/>
        <v>#N/A</v>
      </c>
      <c r="M94" s="124" t="e">
        <f t="shared" si="17"/>
        <v>#N/A</v>
      </c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</row>
    <row r="95" spans="1:42" ht="18.75">
      <c r="A95" s="136"/>
      <c r="B95" s="135"/>
      <c r="D95" s="120" t="str">
        <f t="shared" si="11"/>
        <v/>
      </c>
      <c r="E95" s="121" t="str">
        <f>IF(D95=('Financial Freedom Calculator'!$E$12*-1),"Years Until Retirement",
IF(D95=0,"Retirement",
""))</f>
        <v/>
      </c>
      <c r="F95" s="121" t="str">
        <f t="shared" si="20"/>
        <v/>
      </c>
      <c r="G95" s="121" t="str">
        <f t="shared" si="21"/>
        <v/>
      </c>
      <c r="H95" s="126" t="str">
        <f t="shared" si="22"/>
        <v/>
      </c>
      <c r="I95" s="127" t="str">
        <f t="shared" si="23"/>
        <v/>
      </c>
      <c r="J95" s="124" t="str">
        <f t="shared" si="18"/>
        <v/>
      </c>
      <c r="K95" s="124" t="e">
        <f t="shared" si="19"/>
        <v>#N/A</v>
      </c>
      <c r="L95" s="125" t="e">
        <f t="shared" si="16"/>
        <v>#N/A</v>
      </c>
      <c r="M95" s="124" t="e">
        <f t="shared" si="17"/>
        <v>#N/A</v>
      </c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</row>
    <row r="96" spans="1:42" ht="18.75">
      <c r="A96" s="136"/>
      <c r="B96" s="135"/>
      <c r="D96" s="120" t="str">
        <f t="shared" si="11"/>
        <v/>
      </c>
      <c r="E96" s="121" t="str">
        <f>IF(D96=('Financial Freedom Calculator'!$E$12*-1),"Years Until Retirement",
IF(D96=0,"Retirement",
""))</f>
        <v/>
      </c>
      <c r="F96" s="121" t="str">
        <f t="shared" si="20"/>
        <v/>
      </c>
      <c r="G96" s="121" t="str">
        <f t="shared" si="21"/>
        <v/>
      </c>
      <c r="H96" s="126" t="str">
        <f t="shared" si="22"/>
        <v/>
      </c>
      <c r="I96" s="127" t="str">
        <f t="shared" si="23"/>
        <v/>
      </c>
      <c r="J96" s="124" t="str">
        <f t="shared" si="18"/>
        <v/>
      </c>
      <c r="K96" s="124" t="e">
        <f t="shared" si="19"/>
        <v>#N/A</v>
      </c>
      <c r="L96" s="125" t="e">
        <f t="shared" si="16"/>
        <v>#N/A</v>
      </c>
      <c r="M96" s="124" t="e">
        <f t="shared" si="17"/>
        <v>#N/A</v>
      </c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</row>
    <row r="97" spans="1:42" ht="18.75">
      <c r="A97" s="136"/>
      <c r="B97" s="135"/>
      <c r="D97" s="120" t="str">
        <f t="shared" si="11"/>
        <v/>
      </c>
      <c r="E97" s="121" t="str">
        <f>IF(D97=('Financial Freedom Calculator'!$E$12*-1),"Years Until Retirement",
IF(D97=0,"Retirement",
""))</f>
        <v/>
      </c>
      <c r="F97" s="121" t="str">
        <f t="shared" si="20"/>
        <v/>
      </c>
      <c r="G97" s="121" t="str">
        <f t="shared" si="21"/>
        <v/>
      </c>
      <c r="H97" s="126" t="str">
        <f t="shared" si="22"/>
        <v/>
      </c>
      <c r="I97" s="127" t="str">
        <f t="shared" si="23"/>
        <v/>
      </c>
      <c r="J97" s="124" t="str">
        <f t="shared" si="18"/>
        <v/>
      </c>
      <c r="K97" s="124" t="e">
        <f t="shared" si="19"/>
        <v>#N/A</v>
      </c>
      <c r="L97" s="125" t="e">
        <f t="shared" si="16"/>
        <v>#N/A</v>
      </c>
      <c r="M97" s="124" t="e">
        <f t="shared" si="17"/>
        <v>#N/A</v>
      </c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</row>
    <row r="98" spans="1:42" ht="18.75">
      <c r="A98" s="136"/>
      <c r="B98" s="135"/>
      <c r="D98" s="120" t="str">
        <f t="shared" si="11"/>
        <v/>
      </c>
      <c r="E98" s="121" t="str">
        <f>IF(D98=('Financial Freedom Calculator'!$E$12*-1),"Years Until Retirement",
IF(D98=0,"Retirement",
""))</f>
        <v/>
      </c>
      <c r="F98" s="121" t="str">
        <f t="shared" si="20"/>
        <v/>
      </c>
      <c r="G98" s="121" t="str">
        <f t="shared" si="21"/>
        <v/>
      </c>
      <c r="H98" s="126" t="str">
        <f t="shared" si="22"/>
        <v/>
      </c>
      <c r="I98" s="127" t="str">
        <f t="shared" si="23"/>
        <v/>
      </c>
      <c r="J98" s="124" t="str">
        <f t="shared" si="18"/>
        <v/>
      </c>
      <c r="K98" s="124" t="e">
        <f t="shared" si="19"/>
        <v>#N/A</v>
      </c>
      <c r="L98" s="125" t="e">
        <f t="shared" si="16"/>
        <v>#N/A</v>
      </c>
      <c r="M98" s="124" t="e">
        <f t="shared" si="17"/>
        <v>#N/A</v>
      </c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</row>
    <row r="99" spans="1:42" ht="18.75">
      <c r="A99" s="136"/>
      <c r="B99" s="135"/>
      <c r="D99" s="120" t="str">
        <f t="shared" si="11"/>
        <v/>
      </c>
      <c r="E99" s="121" t="str">
        <f>IF(D99=('Financial Freedom Calculator'!$E$12*-1),"Years Until Retirement",
IF(D99=0,"Retirement",
""))</f>
        <v/>
      </c>
      <c r="F99" s="121" t="str">
        <f t="shared" si="20"/>
        <v/>
      </c>
      <c r="G99" s="121" t="str">
        <f t="shared" si="21"/>
        <v/>
      </c>
      <c r="H99" s="126" t="str">
        <f t="shared" si="22"/>
        <v/>
      </c>
      <c r="I99" s="127" t="str">
        <f t="shared" si="23"/>
        <v/>
      </c>
      <c r="J99" s="124" t="str">
        <f t="shared" si="18"/>
        <v/>
      </c>
      <c r="K99" s="124" t="e">
        <f t="shared" si="19"/>
        <v>#N/A</v>
      </c>
      <c r="L99" s="125" t="e">
        <f t="shared" si="16"/>
        <v>#N/A</v>
      </c>
      <c r="M99" s="124" t="e">
        <f t="shared" si="17"/>
        <v>#N/A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</row>
    <row r="100" spans="1:42" ht="18.75">
      <c r="A100" s="136"/>
      <c r="B100" s="135"/>
      <c r="D100" s="120" t="str">
        <f t="shared" si="11"/>
        <v/>
      </c>
      <c r="E100" s="121" t="str">
        <f>IF(D100=('Financial Freedom Calculator'!$E$12*-1),"Years Until Retirement",
IF(D100=0,"Retirement",
""))</f>
        <v/>
      </c>
      <c r="F100" s="121" t="str">
        <f t="shared" si="20"/>
        <v/>
      </c>
      <c r="G100" s="121" t="str">
        <f t="shared" si="21"/>
        <v/>
      </c>
      <c r="H100" s="126" t="str">
        <f t="shared" si="22"/>
        <v/>
      </c>
      <c r="I100" s="127" t="str">
        <f t="shared" si="23"/>
        <v/>
      </c>
      <c r="J100" s="124" t="str">
        <f t="shared" si="18"/>
        <v/>
      </c>
      <c r="K100" s="124" t="e">
        <f t="shared" si="19"/>
        <v>#N/A</v>
      </c>
      <c r="L100" s="125" t="e">
        <f t="shared" si="16"/>
        <v>#N/A</v>
      </c>
      <c r="M100" s="124" t="e">
        <f t="shared" si="17"/>
        <v>#N/A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</row>
    <row r="101" spans="1:42" ht="18.75">
      <c r="A101" s="136"/>
      <c r="B101" s="135"/>
      <c r="D101" s="120" t="str">
        <f t="shared" si="11"/>
        <v/>
      </c>
      <c r="E101" s="121" t="str">
        <f>IF(D101=('Financial Freedom Calculator'!$E$12*-1),"Years Until Retirement",
IF(D101=0,"Retirement",
""))</f>
        <v/>
      </c>
      <c r="F101" s="121" t="str">
        <f t="shared" si="20"/>
        <v/>
      </c>
      <c r="G101" s="121" t="str">
        <f t="shared" si="21"/>
        <v/>
      </c>
      <c r="H101" s="126" t="str">
        <f t="shared" si="22"/>
        <v/>
      </c>
      <c r="I101" s="127" t="str">
        <f t="shared" si="23"/>
        <v/>
      </c>
      <c r="J101" s="124" t="str">
        <f t="shared" ref="J101:J127" si="24">IF(AND(D101&lt;=life_span,D101&gt;=-years_left),
        IF(D101&gt;0,(J100-H101)*(1+return_rate),
           IF(D101&lt;=0,J100*(1+return_rate)+deposits+add_savings,"")),"")</f>
        <v/>
      </c>
      <c r="K101" s="124" t="e">
        <f t="shared" ref="K101:K127" si="25">IF(AND(D101&lt;&gt;"",I101&gt;=0),I101,
#N/A)</f>
        <v>#N/A</v>
      </c>
      <c r="L101" s="125" t="e">
        <f t="shared" si="16"/>
        <v>#N/A</v>
      </c>
      <c r="M101" s="124" t="e">
        <f t="shared" si="17"/>
        <v>#N/A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</row>
    <row r="102" spans="1:42" ht="18.75">
      <c r="A102" s="136"/>
      <c r="B102" s="135"/>
      <c r="D102" s="120" t="str">
        <f t="shared" ref="D102:D127" si="26">IFERROR(IF(D101+1&lt;=life_span,D101+1,""),"")</f>
        <v/>
      </c>
      <c r="E102" s="121" t="str">
        <f>IF(D102=('Financial Freedom Calculator'!$E$12*-1),"Years Until Retirement",
IF(D102=0,"Retirement",
""))</f>
        <v/>
      </c>
      <c r="F102" s="121" t="str">
        <f t="shared" si="20"/>
        <v/>
      </c>
      <c r="G102" s="121" t="str">
        <f t="shared" ref="G102:G127" si="27">IFERROR(ABS(IF(OR(D102=ROUNDUP($D$5*0.75,0),D102=ROUNDUP($D$5*0.5,0),D102=ROUNDUP($D$5*0.25,0),
D102=0,D102=life_span,D102=ROUNDUP(life_span*0.75,0),D102=ROUNDUP(life_span*0.5,0),D102=ROUNDUP(life_span*0.25,0)),D102,"")),"")</f>
        <v/>
      </c>
      <c r="H102" s="126" t="str">
        <f t="shared" ref="H102:H127" si="28">IF(D102=1,future_income,
IF(D102&lt;1,0,
IF(D102&gt;life_span,"",
H101*(1+inflation_rate))))</f>
        <v/>
      </c>
      <c r="I102" s="127" t="str">
        <f t="shared" ref="I102:I131" si="29" xml:space="preserve">
IF(AND(D102="",D101&lt;&gt;""),
HYPERLINK("#home","Back to Top"),
IF(IF(AND($D102&lt;=life_span,$D102&lt;&gt;""),($I101-IF($H102="",0,$H102))*(1+return_rate)
+IF($D102&lt;=0,deposits,0),"")&lt;0,$I101-$H102,
IF(AND($D102&lt;=life_span,$D102&lt;&gt;""),($I101-IF($H102="",0,$H102))*(1+return_rate)
+IF($D102&lt;=0,deposits,0),"")))</f>
        <v/>
      </c>
      <c r="J102" s="124" t="str">
        <f t="shared" si="24"/>
        <v/>
      </c>
      <c r="K102" s="124" t="e">
        <f t="shared" si="25"/>
        <v>#N/A</v>
      </c>
      <c r="L102" s="125" t="e">
        <f t="shared" si="16"/>
        <v>#N/A</v>
      </c>
      <c r="M102" s="124" t="e">
        <f t="shared" si="17"/>
        <v>#N/A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</row>
    <row r="103" spans="1:42" ht="18.75">
      <c r="A103" s="136"/>
      <c r="B103" s="135"/>
      <c r="D103" s="120" t="str">
        <f t="shared" si="26"/>
        <v/>
      </c>
      <c r="E103" s="121" t="str">
        <f>IF(D103=('Financial Freedom Calculator'!$E$12*-1),"Years Until Retirement",
IF(D103=0,"Retirement",
""))</f>
        <v/>
      </c>
      <c r="F103" s="121" t="str">
        <f t="shared" si="20"/>
        <v/>
      </c>
      <c r="G103" s="121" t="str">
        <f t="shared" si="27"/>
        <v/>
      </c>
      <c r="H103" s="126" t="str">
        <f t="shared" si="28"/>
        <v/>
      </c>
      <c r="I103" s="127" t="str">
        <f t="shared" si="29"/>
        <v/>
      </c>
      <c r="J103" s="124" t="str">
        <f t="shared" si="24"/>
        <v/>
      </c>
      <c r="K103" s="124" t="e">
        <f t="shared" si="25"/>
        <v>#N/A</v>
      </c>
      <c r="L103" s="125" t="e">
        <f t="shared" si="16"/>
        <v>#N/A</v>
      </c>
      <c r="M103" s="124" t="e">
        <f t="shared" si="17"/>
        <v>#N/A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</row>
    <row r="104" spans="1:42" ht="18.75">
      <c r="A104" s="136"/>
      <c r="B104" s="135"/>
      <c r="D104" s="120" t="str">
        <f t="shared" si="26"/>
        <v/>
      </c>
      <c r="E104" s="121" t="str">
        <f>IF(D104=('Financial Freedom Calculator'!$E$12*-1),"Years Until Retirement",
IF(D104=0,"Retirement",
""))</f>
        <v/>
      </c>
      <c r="F104" s="121" t="str">
        <f t="shared" si="20"/>
        <v/>
      </c>
      <c r="G104" s="121" t="str">
        <f t="shared" si="27"/>
        <v/>
      </c>
      <c r="H104" s="126" t="str">
        <f t="shared" si="28"/>
        <v/>
      </c>
      <c r="I104" s="127" t="str">
        <f t="shared" si="29"/>
        <v/>
      </c>
      <c r="J104" s="124" t="str">
        <f t="shared" si="24"/>
        <v/>
      </c>
      <c r="K104" s="124" t="e">
        <f t="shared" si="25"/>
        <v>#N/A</v>
      </c>
      <c r="L104" s="125" t="e">
        <f t="shared" si="16"/>
        <v>#N/A</v>
      </c>
      <c r="M104" s="124" t="e">
        <f t="shared" si="17"/>
        <v>#N/A</v>
      </c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</row>
    <row r="105" spans="1:42" ht="18.75">
      <c r="A105" s="136"/>
      <c r="B105" s="135"/>
      <c r="D105" s="120" t="str">
        <f t="shared" si="26"/>
        <v/>
      </c>
      <c r="E105" s="121" t="str">
        <f>IF(D105=('Financial Freedom Calculator'!$E$12*-1),"Years Until Retirement",
IF(D105=0,"Retirement",
""))</f>
        <v/>
      </c>
      <c r="F105" s="121" t="str">
        <f t="shared" si="20"/>
        <v/>
      </c>
      <c r="G105" s="121" t="str">
        <f t="shared" si="27"/>
        <v/>
      </c>
      <c r="H105" s="126" t="str">
        <f t="shared" si="28"/>
        <v/>
      </c>
      <c r="I105" s="127" t="str">
        <f t="shared" si="29"/>
        <v/>
      </c>
      <c r="J105" s="124" t="str">
        <f t="shared" si="24"/>
        <v/>
      </c>
      <c r="K105" s="124" t="e">
        <f t="shared" si="25"/>
        <v>#N/A</v>
      </c>
      <c r="L105" s="125" t="e">
        <f t="shared" si="16"/>
        <v>#N/A</v>
      </c>
      <c r="M105" s="124" t="e">
        <f t="shared" si="17"/>
        <v>#N/A</v>
      </c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</row>
    <row r="106" spans="1:42" ht="18.75">
      <c r="A106" s="136"/>
      <c r="B106" s="135"/>
      <c r="D106" s="120" t="str">
        <f t="shared" si="26"/>
        <v/>
      </c>
      <c r="E106" s="121" t="str">
        <f>IF(D106=('Financial Freedom Calculator'!$E$12*-1),"Years Until Retirement",
IF(D106=0,"Retirement",
""))</f>
        <v/>
      </c>
      <c r="F106" s="121" t="str">
        <f t="shared" si="20"/>
        <v/>
      </c>
      <c r="G106" s="121" t="str">
        <f t="shared" si="27"/>
        <v/>
      </c>
      <c r="H106" s="126" t="str">
        <f t="shared" si="28"/>
        <v/>
      </c>
      <c r="I106" s="127" t="str">
        <f t="shared" si="29"/>
        <v/>
      </c>
      <c r="J106" s="124" t="str">
        <f t="shared" si="24"/>
        <v/>
      </c>
      <c r="K106" s="124" t="e">
        <f t="shared" si="25"/>
        <v>#N/A</v>
      </c>
      <c r="L106" s="125" t="e">
        <f t="shared" si="16"/>
        <v>#N/A</v>
      </c>
      <c r="M106" s="124" t="e">
        <f t="shared" si="17"/>
        <v>#N/A</v>
      </c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</row>
    <row r="107" spans="1:42" ht="18.75">
      <c r="A107" s="136"/>
      <c r="B107" s="135"/>
      <c r="D107" s="120" t="str">
        <f t="shared" si="26"/>
        <v/>
      </c>
      <c r="E107" s="121" t="str">
        <f>IF(D107=('Financial Freedom Calculator'!$E$12*-1),"Years Until Retirement",
IF(D107=0,"Retirement",
""))</f>
        <v/>
      </c>
      <c r="F107" s="121" t="str">
        <f t="shared" si="20"/>
        <v/>
      </c>
      <c r="G107" s="121" t="str">
        <f t="shared" si="27"/>
        <v/>
      </c>
      <c r="H107" s="126" t="str">
        <f t="shared" si="28"/>
        <v/>
      </c>
      <c r="I107" s="127" t="str">
        <f t="shared" si="29"/>
        <v/>
      </c>
      <c r="J107" s="124" t="str">
        <f t="shared" si="24"/>
        <v/>
      </c>
      <c r="K107" s="124" t="e">
        <f t="shared" si="25"/>
        <v>#N/A</v>
      </c>
      <c r="L107" s="125" t="e">
        <f t="shared" si="16"/>
        <v>#N/A</v>
      </c>
      <c r="M107" s="124" t="e">
        <f t="shared" si="17"/>
        <v>#N/A</v>
      </c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</row>
    <row r="108" spans="1:42" ht="18.75">
      <c r="A108" s="136"/>
      <c r="B108" s="135"/>
      <c r="D108" s="120" t="str">
        <f t="shared" si="26"/>
        <v/>
      </c>
      <c r="E108" s="121" t="str">
        <f>IF(D108=('Financial Freedom Calculator'!$E$12*-1),"Years Until Retirement",
IF(D108=0,"Retirement",
""))</f>
        <v/>
      </c>
      <c r="F108" s="121" t="str">
        <f t="shared" si="20"/>
        <v/>
      </c>
      <c r="G108" s="121" t="str">
        <f t="shared" si="27"/>
        <v/>
      </c>
      <c r="H108" s="126" t="str">
        <f t="shared" si="28"/>
        <v/>
      </c>
      <c r="I108" s="127" t="str">
        <f t="shared" si="29"/>
        <v/>
      </c>
      <c r="J108" s="124" t="str">
        <f t="shared" si="24"/>
        <v/>
      </c>
      <c r="K108" s="124" t="e">
        <f t="shared" si="25"/>
        <v>#N/A</v>
      </c>
      <c r="L108" s="125" t="e">
        <f t="shared" si="16"/>
        <v>#N/A</v>
      </c>
      <c r="M108" s="124" t="e">
        <f t="shared" si="17"/>
        <v>#N/A</v>
      </c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</row>
    <row r="109" spans="1:42" ht="18.75">
      <c r="A109" s="136"/>
      <c r="B109" s="135"/>
      <c r="D109" s="120" t="str">
        <f t="shared" si="26"/>
        <v/>
      </c>
      <c r="E109" s="121" t="str">
        <f>IF(D109=('Financial Freedom Calculator'!$E$12*-1),"Years Until Retirement",
IF(D109=0,"Retirement",
""))</f>
        <v/>
      </c>
      <c r="F109" s="121" t="str">
        <f t="shared" si="20"/>
        <v/>
      </c>
      <c r="G109" s="121" t="str">
        <f t="shared" si="27"/>
        <v/>
      </c>
      <c r="H109" s="126" t="str">
        <f t="shared" si="28"/>
        <v/>
      </c>
      <c r="I109" s="127" t="str">
        <f t="shared" si="29"/>
        <v/>
      </c>
      <c r="J109" s="124" t="str">
        <f t="shared" si="24"/>
        <v/>
      </c>
      <c r="K109" s="124" t="e">
        <f t="shared" si="25"/>
        <v>#N/A</v>
      </c>
      <c r="L109" s="125" t="e">
        <f t="shared" ref="L109:L127" si="30">IF(I109&gt;=0,#N/A,I109)</f>
        <v>#N/A</v>
      </c>
      <c r="M109" s="124" t="e">
        <f t="shared" si="17"/>
        <v>#N/A</v>
      </c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</row>
    <row r="110" spans="1:42" ht="18.75">
      <c r="A110" s="136"/>
      <c r="B110" s="135"/>
      <c r="D110" s="120" t="str">
        <f t="shared" si="26"/>
        <v/>
      </c>
      <c r="E110" s="121" t="str">
        <f>IF(D110=('Financial Freedom Calculator'!$E$12*-1),"Years Until Retirement",
IF(D110=0,"Retirement",
""))</f>
        <v/>
      </c>
      <c r="F110" s="121" t="str">
        <f t="shared" si="20"/>
        <v/>
      </c>
      <c r="G110" s="121" t="str">
        <f t="shared" si="27"/>
        <v/>
      </c>
      <c r="H110" s="126" t="str">
        <f t="shared" si="28"/>
        <v/>
      </c>
      <c r="I110" s="127" t="str">
        <f t="shared" si="29"/>
        <v/>
      </c>
      <c r="J110" s="124" t="str">
        <f t="shared" si="24"/>
        <v/>
      </c>
      <c r="K110" s="124" t="e">
        <f t="shared" si="25"/>
        <v>#N/A</v>
      </c>
      <c r="L110" s="125" t="e">
        <f t="shared" si="30"/>
        <v>#N/A</v>
      </c>
      <c r="M110" s="124" t="e">
        <f t="shared" ref="M110:M127" si="31">IF(AND(ISERROR(L109),L110&lt;0),"It looks like you will fall short by "&amp;TEXT(MIN(I:I)*-1,"$##,#00.00"),#N/A)</f>
        <v>#N/A</v>
      </c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</row>
    <row r="111" spans="1:42" ht="18.75">
      <c r="A111" s="136"/>
      <c r="B111" s="135"/>
      <c r="D111" s="120" t="str">
        <f t="shared" si="26"/>
        <v/>
      </c>
      <c r="E111" s="121" t="str">
        <f>IF(D111=('Financial Freedom Calculator'!$E$12*-1),"Years Until Retirement",
IF(D111=0,"Retirement",
""))</f>
        <v/>
      </c>
      <c r="F111" s="121" t="str">
        <f t="shared" si="20"/>
        <v/>
      </c>
      <c r="G111" s="121" t="str">
        <f t="shared" si="27"/>
        <v/>
      </c>
      <c r="H111" s="126" t="str">
        <f t="shared" si="28"/>
        <v/>
      </c>
      <c r="I111" s="127" t="str">
        <f t="shared" si="29"/>
        <v/>
      </c>
      <c r="J111" s="124" t="str">
        <f t="shared" si="24"/>
        <v/>
      </c>
      <c r="K111" s="124" t="e">
        <f t="shared" si="25"/>
        <v>#N/A</v>
      </c>
      <c r="L111" s="125" t="e">
        <f t="shared" si="30"/>
        <v>#N/A</v>
      </c>
      <c r="M111" s="124" t="e">
        <f t="shared" si="31"/>
        <v>#N/A</v>
      </c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</row>
    <row r="112" spans="1:42" ht="18.75">
      <c r="A112" s="136"/>
      <c r="B112" s="135"/>
      <c r="D112" s="120" t="str">
        <f t="shared" si="26"/>
        <v/>
      </c>
      <c r="E112" s="121" t="str">
        <f>IF(D112=('Financial Freedom Calculator'!$E$12*-1),"Years Until Retirement",
IF(D112=0,"Retirement",
""))</f>
        <v/>
      </c>
      <c r="F112" s="121" t="str">
        <f t="shared" si="20"/>
        <v/>
      </c>
      <c r="G112" s="121" t="str">
        <f t="shared" si="27"/>
        <v/>
      </c>
      <c r="H112" s="126" t="str">
        <f t="shared" si="28"/>
        <v/>
      </c>
      <c r="I112" s="127" t="str">
        <f t="shared" si="29"/>
        <v/>
      </c>
      <c r="J112" s="124" t="str">
        <f t="shared" si="24"/>
        <v/>
      </c>
      <c r="K112" s="124" t="e">
        <f t="shared" si="25"/>
        <v>#N/A</v>
      </c>
      <c r="L112" s="125" t="e">
        <f t="shared" si="30"/>
        <v>#N/A</v>
      </c>
      <c r="M112" s="124" t="e">
        <f t="shared" si="31"/>
        <v>#N/A</v>
      </c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</row>
    <row r="113" spans="1:42" ht="18.75">
      <c r="A113" s="136"/>
      <c r="B113" s="135"/>
      <c r="D113" s="120" t="str">
        <f t="shared" si="26"/>
        <v/>
      </c>
      <c r="E113" s="121" t="str">
        <f>IF(D113=('Financial Freedom Calculator'!$E$12*-1),"Years Until Retirement",
IF(D113=0,"Retirement",
""))</f>
        <v/>
      </c>
      <c r="F113" s="121" t="str">
        <f t="shared" si="20"/>
        <v/>
      </c>
      <c r="G113" s="121" t="str">
        <f t="shared" si="27"/>
        <v/>
      </c>
      <c r="H113" s="126" t="str">
        <f t="shared" si="28"/>
        <v/>
      </c>
      <c r="I113" s="127" t="str">
        <f t="shared" si="29"/>
        <v/>
      </c>
      <c r="J113" s="124" t="str">
        <f t="shared" si="24"/>
        <v/>
      </c>
      <c r="K113" s="124" t="e">
        <f t="shared" si="25"/>
        <v>#N/A</v>
      </c>
      <c r="L113" s="125" t="e">
        <f t="shared" si="30"/>
        <v>#N/A</v>
      </c>
      <c r="M113" s="124" t="e">
        <f t="shared" si="31"/>
        <v>#N/A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</row>
    <row r="114" spans="1:42" ht="18.75">
      <c r="A114" s="136"/>
      <c r="B114" s="135"/>
      <c r="D114" s="120" t="str">
        <f t="shared" si="26"/>
        <v/>
      </c>
      <c r="E114" s="121" t="str">
        <f>IF(D114=('Financial Freedom Calculator'!$E$12*-1),"Years Until Retirement",
IF(D114=0,"Retirement",
""))</f>
        <v/>
      </c>
      <c r="F114" s="121" t="str">
        <f t="shared" si="20"/>
        <v/>
      </c>
      <c r="G114" s="121" t="str">
        <f t="shared" si="27"/>
        <v/>
      </c>
      <c r="H114" s="126" t="str">
        <f t="shared" si="28"/>
        <v/>
      </c>
      <c r="I114" s="127" t="str">
        <f t="shared" si="29"/>
        <v/>
      </c>
      <c r="J114" s="124" t="str">
        <f t="shared" si="24"/>
        <v/>
      </c>
      <c r="K114" s="124" t="e">
        <f t="shared" si="25"/>
        <v>#N/A</v>
      </c>
      <c r="L114" s="125" t="e">
        <f t="shared" si="30"/>
        <v>#N/A</v>
      </c>
      <c r="M114" s="124" t="e">
        <f t="shared" si="31"/>
        <v>#N/A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</row>
    <row r="115" spans="1:42" ht="18.75">
      <c r="A115" s="136"/>
      <c r="B115" s="135"/>
      <c r="D115" s="120" t="str">
        <f t="shared" si="26"/>
        <v/>
      </c>
      <c r="E115" s="121" t="str">
        <f>IF(D115=('Financial Freedom Calculator'!$E$12*-1),"Years Until Retirement",
IF(D115=0,"Retirement",
""))</f>
        <v/>
      </c>
      <c r="F115" s="121" t="str">
        <f t="shared" si="20"/>
        <v/>
      </c>
      <c r="G115" s="121" t="str">
        <f t="shared" si="27"/>
        <v/>
      </c>
      <c r="H115" s="126" t="str">
        <f t="shared" si="28"/>
        <v/>
      </c>
      <c r="I115" s="127" t="str">
        <f t="shared" si="29"/>
        <v/>
      </c>
      <c r="J115" s="124" t="str">
        <f t="shared" si="24"/>
        <v/>
      </c>
      <c r="K115" s="124" t="e">
        <f t="shared" si="25"/>
        <v>#N/A</v>
      </c>
      <c r="L115" s="125" t="e">
        <f t="shared" si="30"/>
        <v>#N/A</v>
      </c>
      <c r="M115" s="124" t="e">
        <f t="shared" si="31"/>
        <v>#N/A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</row>
    <row r="116" spans="1:42" ht="18.75">
      <c r="A116" s="136"/>
      <c r="B116" s="135"/>
      <c r="D116" s="120" t="str">
        <f t="shared" si="26"/>
        <v/>
      </c>
      <c r="E116" s="121" t="str">
        <f>IF(D116=('Financial Freedom Calculator'!$E$12*-1),"Years Until Retirement",
IF(D116=0,"Retirement",
""))</f>
        <v/>
      </c>
      <c r="F116" s="121" t="str">
        <f t="shared" si="20"/>
        <v/>
      </c>
      <c r="G116" s="121" t="str">
        <f t="shared" si="27"/>
        <v/>
      </c>
      <c r="H116" s="126" t="str">
        <f t="shared" si="28"/>
        <v/>
      </c>
      <c r="I116" s="127" t="str">
        <f t="shared" si="29"/>
        <v/>
      </c>
      <c r="J116" s="124" t="str">
        <f t="shared" si="24"/>
        <v/>
      </c>
      <c r="K116" s="124" t="e">
        <f t="shared" si="25"/>
        <v>#N/A</v>
      </c>
      <c r="L116" s="125" t="e">
        <f t="shared" si="30"/>
        <v>#N/A</v>
      </c>
      <c r="M116" s="124" t="e">
        <f t="shared" si="31"/>
        <v>#N/A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</row>
    <row r="117" spans="1:42" ht="18.75">
      <c r="A117" s="136"/>
      <c r="B117" s="135"/>
      <c r="D117" s="120" t="str">
        <f t="shared" si="26"/>
        <v/>
      </c>
      <c r="E117" s="121" t="str">
        <f>IF(D117=('Financial Freedom Calculator'!$E$12*-1),"Years Until Retirement",
IF(D117=0,"Retirement",
""))</f>
        <v/>
      </c>
      <c r="F117" s="121" t="str">
        <f t="shared" si="20"/>
        <v/>
      </c>
      <c r="G117" s="121" t="str">
        <f t="shared" si="27"/>
        <v/>
      </c>
      <c r="H117" s="126" t="str">
        <f t="shared" si="28"/>
        <v/>
      </c>
      <c r="I117" s="127" t="str">
        <f t="shared" si="29"/>
        <v/>
      </c>
      <c r="J117" s="124" t="str">
        <f t="shared" si="24"/>
        <v/>
      </c>
      <c r="K117" s="124" t="e">
        <f t="shared" si="25"/>
        <v>#N/A</v>
      </c>
      <c r="L117" s="125" t="e">
        <f t="shared" si="30"/>
        <v>#N/A</v>
      </c>
      <c r="M117" s="124" t="e">
        <f t="shared" si="31"/>
        <v>#N/A</v>
      </c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</row>
    <row r="118" spans="1:42" ht="18.75">
      <c r="A118" s="136"/>
      <c r="B118" s="135"/>
      <c r="D118" s="120" t="str">
        <f t="shared" si="26"/>
        <v/>
      </c>
      <c r="E118" s="121" t="str">
        <f>IF(D118=('Financial Freedom Calculator'!$E$12*-1),"Years Until Retirement",
IF(D118=0,"Retirement",
""))</f>
        <v/>
      </c>
      <c r="F118" s="121" t="str">
        <f t="shared" si="20"/>
        <v/>
      </c>
      <c r="G118" s="121" t="str">
        <f t="shared" si="27"/>
        <v/>
      </c>
      <c r="H118" s="126" t="str">
        <f t="shared" si="28"/>
        <v/>
      </c>
      <c r="I118" s="127" t="str">
        <f t="shared" si="29"/>
        <v/>
      </c>
      <c r="J118" s="124" t="str">
        <f t="shared" si="24"/>
        <v/>
      </c>
      <c r="K118" s="124" t="e">
        <f t="shared" si="25"/>
        <v>#N/A</v>
      </c>
      <c r="L118" s="125" t="e">
        <f t="shared" si="30"/>
        <v>#N/A</v>
      </c>
      <c r="M118" s="124" t="e">
        <f t="shared" si="31"/>
        <v>#N/A</v>
      </c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</row>
    <row r="119" spans="1:42" ht="18.75">
      <c r="A119" s="136"/>
      <c r="B119" s="135"/>
      <c r="D119" s="120" t="str">
        <f t="shared" si="26"/>
        <v/>
      </c>
      <c r="E119" s="121" t="str">
        <f>IF(D119=('Financial Freedom Calculator'!$E$12*-1),"Years Until Retirement",
IF(D119=0,"Retirement",
""))</f>
        <v/>
      </c>
      <c r="F119" s="121" t="str">
        <f t="shared" si="20"/>
        <v/>
      </c>
      <c r="G119" s="121" t="str">
        <f t="shared" si="27"/>
        <v/>
      </c>
      <c r="H119" s="126" t="str">
        <f t="shared" si="28"/>
        <v/>
      </c>
      <c r="I119" s="127" t="str">
        <f t="shared" si="29"/>
        <v/>
      </c>
      <c r="J119" s="124" t="str">
        <f t="shared" si="24"/>
        <v/>
      </c>
      <c r="K119" s="124" t="e">
        <f t="shared" si="25"/>
        <v>#N/A</v>
      </c>
      <c r="L119" s="125" t="e">
        <f t="shared" si="30"/>
        <v>#N/A</v>
      </c>
      <c r="M119" s="124" t="e">
        <f t="shared" si="31"/>
        <v>#N/A</v>
      </c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</row>
    <row r="120" spans="1:42" ht="18.75">
      <c r="A120" s="136"/>
      <c r="B120" s="135"/>
      <c r="D120" s="120" t="str">
        <f t="shared" si="26"/>
        <v/>
      </c>
      <c r="E120" s="121" t="str">
        <f>IF(D120=('Financial Freedom Calculator'!$E$12*-1),"Years Until Retirement",
IF(D120=0,"Retirement",
""))</f>
        <v/>
      </c>
      <c r="F120" s="121" t="str">
        <f t="shared" si="20"/>
        <v/>
      </c>
      <c r="G120" s="121" t="str">
        <f t="shared" si="27"/>
        <v/>
      </c>
      <c r="H120" s="126" t="str">
        <f t="shared" si="28"/>
        <v/>
      </c>
      <c r="I120" s="127" t="str">
        <f t="shared" si="29"/>
        <v/>
      </c>
      <c r="J120" s="124" t="str">
        <f t="shared" si="24"/>
        <v/>
      </c>
      <c r="K120" s="124" t="e">
        <f t="shared" si="25"/>
        <v>#N/A</v>
      </c>
      <c r="L120" s="125" t="e">
        <f t="shared" si="30"/>
        <v>#N/A</v>
      </c>
      <c r="M120" s="124" t="e">
        <f t="shared" si="31"/>
        <v>#N/A</v>
      </c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</row>
    <row r="121" spans="1:42" ht="18.75">
      <c r="A121" s="136"/>
      <c r="B121" s="135"/>
      <c r="D121" s="120" t="str">
        <f t="shared" si="26"/>
        <v/>
      </c>
      <c r="E121" s="121" t="str">
        <f>IF(D121=('Financial Freedom Calculator'!$E$12*-1),"Years Until Retirement",
IF(D121=0,"Retirement",
""))</f>
        <v/>
      </c>
      <c r="F121" s="121" t="str">
        <f t="shared" si="20"/>
        <v/>
      </c>
      <c r="G121" s="121" t="str">
        <f t="shared" si="27"/>
        <v/>
      </c>
      <c r="H121" s="126" t="str">
        <f t="shared" si="28"/>
        <v/>
      </c>
      <c r="I121" s="127" t="str">
        <f t="shared" si="29"/>
        <v/>
      </c>
      <c r="J121" s="124" t="str">
        <f t="shared" si="24"/>
        <v/>
      </c>
      <c r="K121" s="124" t="e">
        <f t="shared" si="25"/>
        <v>#N/A</v>
      </c>
      <c r="L121" s="125" t="e">
        <f t="shared" si="30"/>
        <v>#N/A</v>
      </c>
      <c r="M121" s="124" t="e">
        <f t="shared" si="31"/>
        <v>#N/A</v>
      </c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</row>
    <row r="122" spans="1:42" ht="18.75">
      <c r="A122" s="136"/>
      <c r="B122" s="135"/>
      <c r="D122" s="120" t="str">
        <f t="shared" si="26"/>
        <v/>
      </c>
      <c r="E122" s="121" t="str">
        <f>IF(D122=('Financial Freedom Calculator'!$E$12*-1),"Years Until Retirement",
IF(D122=0,"Retirement",
""))</f>
        <v/>
      </c>
      <c r="F122" s="121" t="str">
        <f t="shared" si="20"/>
        <v/>
      </c>
      <c r="G122" s="121" t="str">
        <f t="shared" si="27"/>
        <v/>
      </c>
      <c r="H122" s="126" t="str">
        <f t="shared" si="28"/>
        <v/>
      </c>
      <c r="I122" s="127" t="str">
        <f t="shared" si="29"/>
        <v/>
      </c>
      <c r="J122" s="124" t="str">
        <f t="shared" si="24"/>
        <v/>
      </c>
      <c r="K122" s="124" t="e">
        <f t="shared" si="25"/>
        <v>#N/A</v>
      </c>
      <c r="L122" s="125" t="e">
        <f t="shared" si="30"/>
        <v>#N/A</v>
      </c>
      <c r="M122" s="124" t="e">
        <f t="shared" si="31"/>
        <v>#N/A</v>
      </c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</row>
    <row r="123" spans="1:42" ht="18.75">
      <c r="A123" s="136"/>
      <c r="B123" s="135"/>
      <c r="D123" s="120" t="str">
        <f t="shared" si="26"/>
        <v/>
      </c>
      <c r="E123" s="121" t="str">
        <f>IF(D123=('Financial Freedom Calculator'!$E$12*-1),"Years Until Retirement",
IF(D123=0,"Retirement",
""))</f>
        <v/>
      </c>
      <c r="F123" s="121" t="str">
        <f t="shared" si="20"/>
        <v/>
      </c>
      <c r="G123" s="121" t="str">
        <f t="shared" si="27"/>
        <v/>
      </c>
      <c r="H123" s="126" t="str">
        <f t="shared" si="28"/>
        <v/>
      </c>
      <c r="I123" s="127" t="str">
        <f t="shared" si="29"/>
        <v/>
      </c>
      <c r="J123" s="124" t="str">
        <f t="shared" si="24"/>
        <v/>
      </c>
      <c r="K123" s="124" t="e">
        <f t="shared" si="25"/>
        <v>#N/A</v>
      </c>
      <c r="L123" s="125" t="e">
        <f t="shared" si="30"/>
        <v>#N/A</v>
      </c>
      <c r="M123" s="124" t="e">
        <f t="shared" si="31"/>
        <v>#N/A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</row>
    <row r="124" spans="1:42" ht="18.75">
      <c r="A124" s="136"/>
      <c r="B124" s="135"/>
      <c r="D124" s="120" t="str">
        <f t="shared" si="26"/>
        <v/>
      </c>
      <c r="E124" s="121" t="str">
        <f>IF(D124=('Financial Freedom Calculator'!$E$12*-1),"Years Until Retirement",
IF(D124=0,"Retirement",
""))</f>
        <v/>
      </c>
      <c r="F124" s="121" t="str">
        <f t="shared" si="20"/>
        <v/>
      </c>
      <c r="G124" s="121" t="str">
        <f t="shared" si="27"/>
        <v/>
      </c>
      <c r="H124" s="126" t="str">
        <f t="shared" si="28"/>
        <v/>
      </c>
      <c r="I124" s="127" t="str">
        <f t="shared" si="29"/>
        <v/>
      </c>
      <c r="J124" s="124" t="str">
        <f t="shared" si="24"/>
        <v/>
      </c>
      <c r="K124" s="124" t="e">
        <f t="shared" si="25"/>
        <v>#N/A</v>
      </c>
      <c r="L124" s="125" t="e">
        <f t="shared" si="30"/>
        <v>#N/A</v>
      </c>
      <c r="M124" s="124" t="e">
        <f t="shared" si="31"/>
        <v>#N/A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</row>
    <row r="125" spans="1:42" ht="18.75">
      <c r="A125" s="136"/>
      <c r="B125" s="135"/>
      <c r="D125" s="120" t="str">
        <f t="shared" si="26"/>
        <v/>
      </c>
      <c r="E125" s="121" t="str">
        <f>IF(D125=('Financial Freedom Calculator'!$E$12*-1),"Years Until Retirement",
IF(D125=0,"Retirement",
""))</f>
        <v/>
      </c>
      <c r="F125" s="121" t="str">
        <f t="shared" si="20"/>
        <v/>
      </c>
      <c r="G125" s="121" t="str">
        <f t="shared" si="27"/>
        <v/>
      </c>
      <c r="H125" s="126" t="str">
        <f t="shared" si="28"/>
        <v/>
      </c>
      <c r="I125" s="127" t="str">
        <f t="shared" si="29"/>
        <v/>
      </c>
      <c r="J125" s="124" t="str">
        <f t="shared" si="24"/>
        <v/>
      </c>
      <c r="K125" s="124" t="e">
        <f t="shared" si="25"/>
        <v>#N/A</v>
      </c>
      <c r="L125" s="125" t="e">
        <f t="shared" si="30"/>
        <v>#N/A</v>
      </c>
      <c r="M125" s="124" t="e">
        <f t="shared" si="31"/>
        <v>#N/A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</row>
    <row r="126" spans="1:42" ht="18.75">
      <c r="A126" s="136"/>
      <c r="B126" s="135"/>
      <c r="D126" s="120" t="str">
        <f t="shared" si="26"/>
        <v/>
      </c>
      <c r="E126" s="121" t="str">
        <f>IF(D126=('Financial Freedom Calculator'!$E$12*-1),"Years Until Retirement",
IF(D126=0,"Retirement",
""))</f>
        <v/>
      </c>
      <c r="F126" s="121" t="str">
        <f t="shared" si="20"/>
        <v/>
      </c>
      <c r="G126" s="121" t="str">
        <f t="shared" si="27"/>
        <v/>
      </c>
      <c r="H126" s="126" t="str">
        <f t="shared" si="28"/>
        <v/>
      </c>
      <c r="I126" s="127" t="str">
        <f t="shared" si="29"/>
        <v/>
      </c>
      <c r="J126" s="124" t="str">
        <f t="shared" si="24"/>
        <v/>
      </c>
      <c r="K126" s="124" t="e">
        <f t="shared" si="25"/>
        <v>#N/A</v>
      </c>
      <c r="L126" s="125" t="e">
        <f t="shared" si="30"/>
        <v>#N/A</v>
      </c>
      <c r="M126" s="124" t="e">
        <f t="shared" si="31"/>
        <v>#N/A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</row>
    <row r="127" spans="1:42" ht="18.75">
      <c r="A127" s="136"/>
      <c r="B127" s="135"/>
      <c r="D127" s="120" t="str">
        <f t="shared" si="26"/>
        <v/>
      </c>
      <c r="E127" s="121" t="str">
        <f>IF(D127=('Financial Freedom Calculator'!$E$12*-1),"Years Until Retirement",
IF(D127=0,"Retirement",
""))</f>
        <v/>
      </c>
      <c r="F127" s="121" t="str">
        <f t="shared" si="20"/>
        <v/>
      </c>
      <c r="G127" s="121" t="str">
        <f t="shared" si="27"/>
        <v/>
      </c>
      <c r="H127" s="126" t="str">
        <f t="shared" si="28"/>
        <v/>
      </c>
      <c r="I127" s="127" t="str">
        <f t="shared" si="29"/>
        <v/>
      </c>
      <c r="J127" s="124" t="str">
        <f t="shared" si="24"/>
        <v/>
      </c>
      <c r="K127" s="124" t="e">
        <f t="shared" si="25"/>
        <v>#N/A</v>
      </c>
      <c r="L127" s="125" t="e">
        <f t="shared" si="30"/>
        <v>#N/A</v>
      </c>
      <c r="M127" s="124" t="e">
        <f t="shared" si="31"/>
        <v>#N/A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</row>
    <row r="128" spans="1:42" ht="18.75">
      <c r="A128" s="136"/>
      <c r="B128" s="135"/>
      <c r="D128" s="120" t="str">
        <f t="shared" ref="D128:D131" si="32">IFERROR(IF(D127+1&lt;=life_span,D127+1,""),"")</f>
        <v/>
      </c>
      <c r="E128" s="121" t="str">
        <f>IF(D128=('Financial Freedom Calculator'!$E$12*-1),"Years Until Retirement",
IF(D128=0,"Retirement",
""))</f>
        <v/>
      </c>
      <c r="F128" s="121" t="str">
        <f t="shared" si="20"/>
        <v/>
      </c>
      <c r="G128" s="121" t="str">
        <f>IF(OR(D128=ROUNDUP($D$5*0.75,0),D128=ROUNDUP($D$5*0.5,0),D128=ROUNDUP($D$5*0.25,0),
D128=0,D128=life_span,D128=ROUNDUP(life_span*0.75,0),D128=ROUNDUP(life_span*0.5,0),D128=ROUNDUP(life_span*0.25,0)),D128,"")</f>
        <v/>
      </c>
      <c r="H128" s="126" t="str">
        <f>IF(D128=1,future_income,
IF(D128&lt;1,"",
IF(D128&gt;life_span,"",
H127*(1+inflation_rate))))</f>
        <v/>
      </c>
      <c r="I128" s="127" t="str">
        <f t="shared" si="29"/>
        <v/>
      </c>
      <c r="J128" s="124" t="str">
        <f>IF(D128=0,'Financial Freedom Calculator'!$E$32,IF(OR(D128&lt;0,D128&gt;life_span),"",(J127-H128)*(1+return_rate)))</f>
        <v/>
      </c>
      <c r="K128" s="96" t="str">
        <f>IF(AND($D128&lt;=life_span,$D128&lt;&gt;""),($I127-IF($H128="",0,$H128))*(1+return_rate)
+IF($D128&lt;=0,deposits,0),"")</f>
        <v/>
      </c>
      <c r="L128" s="73" t="str">
        <f>IF(I128&gt;0,"",I127-H128)</f>
        <v/>
      </c>
      <c r="M128" s="96" t="str">
        <f>IF(AND(I128&lt;0,I127&gt;0),"It looks like you will fall short by "&amp;TEXT(MIN(I:I)*-1,"$##,#00.00"),"")</f>
        <v/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</row>
    <row r="129" spans="1:42" ht="18.75">
      <c r="A129" s="136"/>
      <c r="B129" s="135"/>
      <c r="D129" s="120" t="str">
        <f t="shared" si="32"/>
        <v/>
      </c>
      <c r="E129" s="121" t="str">
        <f>IF(D129=('Financial Freedom Calculator'!$E$12*-1),"Years Until Retirement",
IF(D129=0,"Retirement",
""))</f>
        <v/>
      </c>
      <c r="F129" s="121" t="str">
        <f t="shared" si="20"/>
        <v/>
      </c>
      <c r="G129" s="121" t="str">
        <f>IF(OR(D129=ROUNDUP($D$5*0.75,0),D129=ROUNDUP($D$5*0.5,0),D129=ROUNDUP($D$5*0.25,0),
D129=0,D129=life_span,D129=ROUNDUP(life_span*0.75,0),D129=ROUNDUP(life_span*0.5,0),D129=ROUNDUP(life_span*0.25,0)),D129,"")</f>
        <v/>
      </c>
      <c r="H129" s="126" t="str">
        <f>IF(D129=1,future_income,
IF(D129&lt;1,"",
IF(D129&gt;life_span,"",
H128*(1+inflation_rate))))</f>
        <v/>
      </c>
      <c r="I129" s="127" t="str">
        <f t="shared" si="29"/>
        <v/>
      </c>
      <c r="J129" s="124" t="str">
        <f>IF(D129=0,'Financial Freedom Calculator'!$E$32,IF(OR(D129&lt;0,D129&gt;life_span),"",(J128-H129)*(1+return_rate)))</f>
        <v/>
      </c>
      <c r="K129" s="96" t="str">
        <f>IF(AND($D129&lt;=life_span,$D129&lt;&gt;""),($I128-IF($H129="",0,$H129))*(1+return_rate)
+IF($D129&lt;=0,deposits,0),"")</f>
        <v/>
      </c>
      <c r="L129" s="73" t="str">
        <f>IF(I129&gt;0,"",I128-H129)</f>
        <v/>
      </c>
      <c r="M129" s="96" t="str">
        <f>IF(AND(I129&lt;0,I128&gt;0),"It looks like you will fall short by "&amp;TEXT(MIN(I:I)*-1,"$##,#00.00"),"")</f>
        <v/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</row>
    <row r="130" spans="1:42" ht="18.75">
      <c r="A130" s="136"/>
      <c r="B130" s="135"/>
      <c r="D130" s="120" t="str">
        <f t="shared" si="32"/>
        <v/>
      </c>
      <c r="E130" s="121"/>
      <c r="F130" s="121" t="str">
        <f t="shared" si="20"/>
        <v/>
      </c>
      <c r="G130" s="121" t="str">
        <f>IF(OR(D130=ROUNDUP($D$5*0.75,0),D130=ROUNDUP($D$5*0.5,0),D130=ROUNDUP($D$5*0.25,0),
D130=0,D130=life_span,D130=ROUNDUP(life_span*0.75,0),D130=ROUNDUP(life_span*0.5,0),D130=ROUNDUP(life_span*0.25,0)),D130,"")</f>
        <v/>
      </c>
      <c r="H130" s="126" t="str">
        <f>IF(D130=1,future_income,
IF(D130&lt;1,"",
IF(D130&gt;life_span,"",
H129*(1+inflation_rate))))</f>
        <v/>
      </c>
      <c r="I130" s="127" t="str">
        <f t="shared" si="29"/>
        <v/>
      </c>
      <c r="J130" s="124" t="str">
        <f>IF(D130=0,'Financial Freedom Calculator'!$E$32,IF(OR(D130&lt;0,D130&gt;life_span),"",(J129-H130)*(1+return_rate)))</f>
        <v/>
      </c>
      <c r="L130" s="73" t="str">
        <f>IF(I130&gt;0,"",I129-H130)</f>
        <v/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</row>
    <row r="131" spans="1:42">
      <c r="A131" s="136"/>
      <c r="B131" s="135"/>
      <c r="D131" s="74" t="str">
        <f t="shared" si="32"/>
        <v/>
      </c>
      <c r="F131" s="145" t="str">
        <f t="shared" si="20"/>
        <v/>
      </c>
      <c r="H131" s="73" t="str">
        <f>IF(D131=1,future_income,
IF(D131&lt;1,"",
IF(D131&gt;life_span,"",
H130*(1+inflation_rate))))</f>
        <v/>
      </c>
      <c r="I131" s="127" t="str">
        <f t="shared" si="29"/>
        <v/>
      </c>
      <c r="J131" s="73"/>
      <c r="L131" s="7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</row>
    <row r="132" spans="1:42">
      <c r="A132" s="136"/>
      <c r="B132" s="135"/>
      <c r="F132" s="145" t="str">
        <f t="shared" si="20"/>
        <v/>
      </c>
      <c r="I132" s="128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</row>
    <row r="133" spans="1:42">
      <c r="A133" s="136"/>
      <c r="B133" s="135"/>
      <c r="F133" s="145" t="str">
        <f t="shared" si="20"/>
        <v/>
      </c>
      <c r="I133" s="128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</row>
    <row r="134" spans="1:42">
      <c r="A134" s="136"/>
      <c r="B134" s="135"/>
      <c r="F134" s="145" t="str">
        <f t="shared" ref="F134:F194" si="33">IF(ROW(F134)-4=50,"Retirement","")</f>
        <v/>
      </c>
      <c r="I134" s="128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</row>
    <row r="135" spans="1:42">
      <c r="A135" s="136"/>
      <c r="B135" s="135"/>
      <c r="F135" s="145" t="str">
        <f t="shared" si="33"/>
        <v/>
      </c>
      <c r="I135" s="128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</row>
    <row r="136" spans="1:42">
      <c r="A136" s="136"/>
      <c r="B136" s="135"/>
      <c r="F136" s="145" t="str">
        <f t="shared" si="33"/>
        <v/>
      </c>
      <c r="I136" s="128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</row>
    <row r="137" spans="1:42">
      <c r="A137" s="136"/>
      <c r="B137" s="135"/>
      <c r="F137" s="145" t="str">
        <f t="shared" si="33"/>
        <v/>
      </c>
      <c r="I137" s="128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</row>
    <row r="138" spans="1:42">
      <c r="A138" s="136"/>
      <c r="B138" s="135"/>
      <c r="F138" s="145" t="str">
        <f t="shared" si="33"/>
        <v/>
      </c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</row>
    <row r="139" spans="1:42">
      <c r="A139" s="136"/>
      <c r="B139" s="135"/>
      <c r="F139" s="145" t="str">
        <f t="shared" si="33"/>
        <v/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</row>
    <row r="140" spans="1:42">
      <c r="A140" s="136"/>
      <c r="B140" s="135"/>
      <c r="F140" s="145" t="str">
        <f t="shared" si="33"/>
        <v/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</row>
    <row r="141" spans="1:42">
      <c r="A141" s="136"/>
      <c r="B141" s="135"/>
      <c r="F141" s="145" t="str">
        <f t="shared" si="33"/>
        <v/>
      </c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</row>
    <row r="142" spans="1:42">
      <c r="A142" s="136"/>
      <c r="B142" s="135"/>
      <c r="F142" s="145" t="str">
        <f t="shared" si="33"/>
        <v/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</row>
    <row r="143" spans="1:42">
      <c r="A143" s="136"/>
      <c r="B143" s="135"/>
      <c r="F143" s="145" t="str">
        <f t="shared" si="33"/>
        <v/>
      </c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</row>
    <row r="144" spans="1:42">
      <c r="A144" s="136"/>
      <c r="B144" s="135"/>
      <c r="F144" s="145" t="str">
        <f t="shared" si="33"/>
        <v/>
      </c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</row>
    <row r="145" spans="1:42">
      <c r="A145" s="136"/>
      <c r="B145" s="135"/>
      <c r="F145" s="145" t="str">
        <f t="shared" si="33"/>
        <v/>
      </c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</row>
    <row r="146" spans="1:42">
      <c r="A146" s="136"/>
      <c r="B146" s="135"/>
      <c r="F146" s="145" t="str">
        <f t="shared" si="33"/>
        <v/>
      </c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</row>
    <row r="147" spans="1:42">
      <c r="A147" s="136"/>
      <c r="B147" s="135"/>
      <c r="F147" s="145" t="str">
        <f t="shared" si="33"/>
        <v/>
      </c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</row>
    <row r="148" spans="1:42">
      <c r="A148" s="136"/>
      <c r="B148" s="135"/>
      <c r="F148" s="145" t="str">
        <f t="shared" si="33"/>
        <v/>
      </c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</row>
    <row r="149" spans="1:42">
      <c r="A149" s="136"/>
      <c r="B149" s="135"/>
      <c r="F149" s="145" t="str">
        <f t="shared" si="33"/>
        <v/>
      </c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</row>
    <row r="150" spans="1:42">
      <c r="A150" s="136"/>
      <c r="B150" s="135"/>
      <c r="F150" s="145" t="str">
        <f t="shared" si="33"/>
        <v/>
      </c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</row>
    <row r="151" spans="1:42">
      <c r="A151" s="136"/>
      <c r="B151" s="135"/>
      <c r="F151" s="145" t="str">
        <f t="shared" si="33"/>
        <v/>
      </c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</row>
    <row r="152" spans="1:42">
      <c r="A152" s="136"/>
      <c r="B152" s="135"/>
      <c r="F152" s="145" t="str">
        <f t="shared" si="33"/>
        <v/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</row>
    <row r="153" spans="1:42">
      <c r="A153" s="136"/>
      <c r="B153" s="135"/>
      <c r="F153" s="145" t="str">
        <f t="shared" si="33"/>
        <v/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</row>
    <row r="154" spans="1:42">
      <c r="A154" s="136"/>
      <c r="B154" s="135"/>
      <c r="F154" s="145" t="str">
        <f t="shared" si="33"/>
        <v/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</row>
    <row r="155" spans="1:42">
      <c r="A155" s="136"/>
      <c r="B155" s="135"/>
      <c r="F155" s="145" t="str">
        <f t="shared" si="33"/>
        <v/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</row>
    <row r="156" spans="1:42">
      <c r="A156" s="136"/>
      <c r="B156" s="135"/>
      <c r="F156" s="145" t="str">
        <f t="shared" si="33"/>
        <v/>
      </c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</row>
    <row r="157" spans="1:42">
      <c r="A157" s="136"/>
      <c r="B157" s="135"/>
      <c r="F157" s="145" t="str">
        <f t="shared" si="33"/>
        <v/>
      </c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</row>
    <row r="158" spans="1:42">
      <c r="A158" s="136"/>
      <c r="B158" s="135"/>
      <c r="F158" s="145" t="str">
        <f t="shared" si="33"/>
        <v/>
      </c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</row>
    <row r="159" spans="1:42">
      <c r="A159" s="136"/>
      <c r="B159" s="135"/>
      <c r="F159" s="145" t="str">
        <f t="shared" si="33"/>
        <v/>
      </c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</row>
    <row r="160" spans="1:42">
      <c r="A160" s="136"/>
      <c r="B160" s="135"/>
      <c r="F160" s="145" t="str">
        <f t="shared" si="33"/>
        <v/>
      </c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</row>
    <row r="161" spans="1:42">
      <c r="A161" s="136"/>
      <c r="B161" s="135"/>
      <c r="F161" s="145" t="str">
        <f t="shared" si="33"/>
        <v/>
      </c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</row>
    <row r="162" spans="1:42">
      <c r="A162" s="136"/>
      <c r="B162" s="135"/>
      <c r="F162" s="145" t="str">
        <f t="shared" si="33"/>
        <v/>
      </c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</row>
    <row r="163" spans="1:42">
      <c r="A163" s="136"/>
      <c r="B163" s="135"/>
      <c r="F163" s="145" t="str">
        <f t="shared" si="33"/>
        <v/>
      </c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</row>
    <row r="164" spans="1:42">
      <c r="A164" s="136"/>
      <c r="B164" s="135"/>
      <c r="F164" s="145" t="str">
        <f t="shared" si="33"/>
        <v/>
      </c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</row>
    <row r="165" spans="1:42">
      <c r="A165" s="136"/>
      <c r="B165" s="135"/>
      <c r="F165" s="145" t="str">
        <f t="shared" si="33"/>
        <v/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</row>
    <row r="166" spans="1:42">
      <c r="A166" s="136"/>
      <c r="B166" s="135"/>
      <c r="F166" s="145" t="str">
        <f t="shared" si="33"/>
        <v/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</row>
    <row r="167" spans="1:42">
      <c r="A167" s="136"/>
      <c r="B167" s="135"/>
      <c r="F167" s="145" t="str">
        <f t="shared" si="33"/>
        <v/>
      </c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</row>
    <row r="168" spans="1:42">
      <c r="A168" s="136"/>
      <c r="B168" s="135"/>
      <c r="F168" s="145" t="str">
        <f t="shared" si="33"/>
        <v/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</row>
    <row r="169" spans="1:42">
      <c r="A169" s="136"/>
      <c r="B169" s="135"/>
      <c r="F169" s="145" t="str">
        <f t="shared" si="33"/>
        <v/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</row>
    <row r="170" spans="1:42">
      <c r="A170" s="136"/>
      <c r="B170" s="135"/>
      <c r="F170" s="145" t="str">
        <f t="shared" si="33"/>
        <v/>
      </c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</row>
    <row r="171" spans="1:42">
      <c r="A171" s="136"/>
      <c r="B171" s="135"/>
      <c r="F171" s="145" t="str">
        <f t="shared" si="33"/>
        <v/>
      </c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</row>
    <row r="172" spans="1:42">
      <c r="A172" s="136"/>
      <c r="B172" s="135"/>
      <c r="F172" s="145" t="str">
        <f t="shared" si="33"/>
        <v/>
      </c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</row>
    <row r="173" spans="1:42">
      <c r="A173" s="136"/>
      <c r="B173" s="135"/>
      <c r="F173" s="145" t="str">
        <f t="shared" si="33"/>
        <v/>
      </c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</row>
    <row r="174" spans="1:42">
      <c r="A174" s="136"/>
      <c r="B174" s="135"/>
      <c r="F174" s="145" t="str">
        <f t="shared" si="33"/>
        <v/>
      </c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</row>
    <row r="175" spans="1:42">
      <c r="A175" s="136"/>
      <c r="B175" s="135"/>
      <c r="F175" s="145" t="str">
        <f t="shared" si="33"/>
        <v/>
      </c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</row>
    <row r="176" spans="1:42">
      <c r="A176" s="136"/>
      <c r="B176" s="135"/>
      <c r="F176" s="145" t="str">
        <f t="shared" si="33"/>
        <v/>
      </c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</row>
    <row r="177" spans="1:42">
      <c r="A177" s="136"/>
      <c r="B177" s="135"/>
      <c r="F177" s="145" t="str">
        <f t="shared" si="33"/>
        <v/>
      </c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</row>
    <row r="178" spans="1:42">
      <c r="A178" s="136"/>
      <c r="B178" s="135"/>
      <c r="F178" s="145" t="str">
        <f t="shared" si="33"/>
        <v/>
      </c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</row>
    <row r="179" spans="1:42">
      <c r="A179" s="136"/>
      <c r="B179" s="135"/>
      <c r="F179" s="145" t="str">
        <f t="shared" si="33"/>
        <v/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</row>
    <row r="180" spans="1:42">
      <c r="A180" s="136"/>
      <c r="B180" s="135"/>
      <c r="F180" s="145" t="str">
        <f t="shared" si="33"/>
        <v/>
      </c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</row>
    <row r="181" spans="1:42">
      <c r="A181" s="136"/>
      <c r="B181" s="135"/>
      <c r="F181" s="145" t="str">
        <f t="shared" si="33"/>
        <v/>
      </c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</row>
    <row r="182" spans="1:42">
      <c r="A182" s="136"/>
      <c r="B182" s="135"/>
      <c r="F182" s="145" t="str">
        <f t="shared" si="33"/>
        <v/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</row>
    <row r="183" spans="1:42">
      <c r="A183" s="136"/>
      <c r="B183" s="135"/>
      <c r="F183" s="145" t="str">
        <f t="shared" si="33"/>
        <v/>
      </c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</row>
    <row r="184" spans="1:42">
      <c r="A184" s="136"/>
      <c r="B184" s="135"/>
      <c r="F184" s="145" t="str">
        <f t="shared" si="33"/>
        <v/>
      </c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</row>
    <row r="185" spans="1:42">
      <c r="A185" s="136"/>
      <c r="B185" s="135"/>
      <c r="F185" s="145" t="str">
        <f t="shared" si="33"/>
        <v/>
      </c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</row>
    <row r="186" spans="1:42">
      <c r="A186" s="136"/>
      <c r="B186" s="135"/>
      <c r="F186" s="145" t="str">
        <f t="shared" si="33"/>
        <v/>
      </c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</row>
    <row r="187" spans="1:42">
      <c r="A187" s="136"/>
      <c r="B187" s="135"/>
      <c r="F187" s="145" t="str">
        <f t="shared" si="33"/>
        <v/>
      </c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</row>
    <row r="188" spans="1:42">
      <c r="A188" s="136"/>
      <c r="B188" s="135"/>
      <c r="F188" s="145" t="str">
        <f t="shared" si="33"/>
        <v/>
      </c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</row>
    <row r="189" spans="1:42">
      <c r="A189" s="136"/>
      <c r="B189" s="135"/>
      <c r="F189" s="145" t="str">
        <f t="shared" si="33"/>
        <v/>
      </c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</row>
    <row r="190" spans="1:42">
      <c r="A190" s="136"/>
      <c r="B190" s="135"/>
      <c r="F190" s="145" t="str">
        <f t="shared" si="33"/>
        <v/>
      </c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</row>
    <row r="191" spans="1:42">
      <c r="A191" s="136"/>
      <c r="B191" s="135"/>
      <c r="F191" s="145" t="str">
        <f t="shared" si="33"/>
        <v/>
      </c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</row>
    <row r="192" spans="1:42">
      <c r="A192" s="136"/>
      <c r="B192" s="135"/>
      <c r="F192" s="145" t="str">
        <f t="shared" si="33"/>
        <v/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</row>
    <row r="193" spans="1:42">
      <c r="A193" s="136"/>
      <c r="B193" s="135"/>
      <c r="F193" s="145" t="str">
        <f t="shared" si="33"/>
        <v/>
      </c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</row>
    <row r="194" spans="1:42">
      <c r="A194" s="136"/>
      <c r="B194" s="135"/>
      <c r="F194" s="145" t="str">
        <f t="shared" si="33"/>
        <v/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</row>
    <row r="195" spans="1:42">
      <c r="A195" s="136"/>
      <c r="B195" s="135"/>
      <c r="F195" s="1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</row>
    <row r="196" spans="1:42">
      <c r="A196" s="136"/>
      <c r="B196" s="135"/>
      <c r="F196" s="1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</row>
    <row r="197" spans="1:42">
      <c r="A197" s="136"/>
      <c r="B197" s="135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</row>
    <row r="198" spans="1:42">
      <c r="A198" s="136"/>
      <c r="B198" s="135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</row>
    <row r="199" spans="1:42">
      <c r="A199" s="136"/>
      <c r="B199" s="135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</row>
    <row r="200" spans="1:42">
      <c r="A200" s="136"/>
      <c r="B200" s="135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</row>
    <row r="201" spans="1:42">
      <c r="A201" s="136"/>
      <c r="B201" s="135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</row>
    <row r="202" spans="1:42">
      <c r="A202" s="136"/>
      <c r="B202" s="135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</row>
    <row r="203" spans="1:42">
      <c r="A203" s="136"/>
      <c r="B203" s="135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</row>
    <row r="204" spans="1:42">
      <c r="A204" s="136"/>
      <c r="B204" s="135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</row>
    <row r="205" spans="1:42">
      <c r="A205" s="136"/>
      <c r="B205" s="135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</row>
    <row r="206" spans="1:42">
      <c r="A206" s="136"/>
      <c r="B206" s="135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</row>
    <row r="207" spans="1:42">
      <c r="A207" s="136"/>
      <c r="B207" s="135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</row>
    <row r="208" spans="1:42">
      <c r="A208" s="136"/>
      <c r="B208" s="135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</row>
    <row r="209" spans="1:42">
      <c r="A209" s="136"/>
      <c r="B209" s="135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</row>
    <row r="210" spans="1:42">
      <c r="A210" s="136"/>
      <c r="B210" s="135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</row>
    <row r="211" spans="1:42">
      <c r="A211" s="136"/>
      <c r="B211" s="135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</row>
    <row r="212" spans="1:42">
      <c r="A212" s="136"/>
      <c r="B212" s="135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</row>
    <row r="213" spans="1:42">
      <c r="A213" s="136"/>
      <c r="B213" s="135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</row>
    <row r="214" spans="1:42">
      <c r="A214" s="136"/>
      <c r="B214" s="135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</row>
    <row r="215" spans="1:42">
      <c r="A215" s="136"/>
      <c r="B215" s="135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</row>
    <row r="216" spans="1:42">
      <c r="A216" s="136"/>
      <c r="B216" s="135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</row>
    <row r="217" spans="1:42">
      <c r="A217" s="136"/>
      <c r="B217" s="135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</row>
    <row r="218" spans="1:42">
      <c r="A218" s="136"/>
      <c r="B218" s="135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</row>
    <row r="219" spans="1:42">
      <c r="A219" s="136"/>
      <c r="B219" s="135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</row>
    <row r="220" spans="1:42">
      <c r="A220" s="136"/>
      <c r="B220" s="135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</row>
    <row r="221" spans="1:42">
      <c r="A221" s="136"/>
      <c r="B221" s="135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</row>
    <row r="222" spans="1:42">
      <c r="A222" s="136"/>
      <c r="B222" s="135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</row>
    <row r="223" spans="1:42">
      <c r="A223" s="136"/>
      <c r="B223" s="135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</row>
    <row r="224" spans="1:42">
      <c r="A224" s="136"/>
      <c r="B224" s="135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</row>
    <row r="225" spans="1:42">
      <c r="A225" s="136"/>
      <c r="B225" s="135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</row>
    <row r="226" spans="1:42">
      <c r="A226" s="136"/>
      <c r="B226" s="135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</row>
    <row r="227" spans="1:42">
      <c r="A227" s="136"/>
      <c r="B227" s="135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</row>
    <row r="228" spans="1:42">
      <c r="A228" s="136"/>
      <c r="B228" s="135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</row>
    <row r="229" spans="1:42">
      <c r="A229" s="136"/>
      <c r="B229" s="135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</row>
    <row r="230" spans="1:42">
      <c r="A230" s="136"/>
      <c r="B230" s="135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</row>
    <row r="231" spans="1:42">
      <c r="A231" s="136"/>
      <c r="B231" s="135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</row>
    <row r="232" spans="1:42">
      <c r="A232" s="136"/>
      <c r="B232" s="135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</row>
    <row r="233" spans="1:42">
      <c r="A233" s="136"/>
      <c r="B233" s="135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</row>
    <row r="234" spans="1:42">
      <c r="A234" s="136"/>
      <c r="B234" s="135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</row>
    <row r="235" spans="1:42">
      <c r="A235" s="136"/>
      <c r="B235" s="135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</row>
    <row r="236" spans="1:42">
      <c r="A236" s="136"/>
      <c r="B236" s="135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</row>
    <row r="237" spans="1:42">
      <c r="A237" s="136"/>
      <c r="B237" s="135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</row>
    <row r="238" spans="1:42">
      <c r="A238" s="136"/>
      <c r="B238" s="135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</row>
    <row r="239" spans="1:42">
      <c r="A239" s="136"/>
      <c r="B239" s="135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</row>
    <row r="240" spans="1:42">
      <c r="A240" s="136"/>
      <c r="B240" s="135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</row>
    <row r="241" spans="1:42">
      <c r="A241" s="136"/>
      <c r="B241" s="135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</row>
    <row r="242" spans="1:42">
      <c r="A242" s="136"/>
      <c r="B242" s="135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</row>
    <row r="243" spans="1:42">
      <c r="A243" s="136"/>
      <c r="B243" s="135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</row>
    <row r="244" spans="1:42">
      <c r="A244" s="136"/>
      <c r="B244" s="135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</row>
    <row r="245" spans="1:42">
      <c r="A245" s="136"/>
      <c r="B245" s="135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</row>
    <row r="246" spans="1:42">
      <c r="A246" s="136"/>
      <c r="B246" s="135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</row>
    <row r="247" spans="1:42">
      <c r="A247" s="136"/>
      <c r="B247" s="135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</row>
    <row r="248" spans="1:42">
      <c r="A248" s="136"/>
      <c r="B248" s="135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</row>
    <row r="249" spans="1:42">
      <c r="A249" s="136"/>
      <c r="B249" s="135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</row>
    <row r="250" spans="1:42">
      <c r="A250" s="136"/>
      <c r="B250" s="135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</row>
    <row r="251" spans="1:42">
      <c r="A251" s="136"/>
      <c r="B251" s="135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</row>
    <row r="252" spans="1:42">
      <c r="A252" s="136"/>
      <c r="B252" s="135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</row>
    <row r="253" spans="1:42">
      <c r="A253" s="136"/>
      <c r="B253" s="135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</row>
    <row r="254" spans="1:42">
      <c r="A254" s="136"/>
      <c r="B254" s="135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</row>
    <row r="255" spans="1:42">
      <c r="A255" s="136"/>
      <c r="B255" s="135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</row>
    <row r="256" spans="1:42">
      <c r="A256" s="136"/>
      <c r="B256" s="135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</row>
    <row r="257" spans="1:42">
      <c r="A257" s="136"/>
      <c r="B257" s="135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</row>
    <row r="258" spans="1:42">
      <c r="A258" s="136"/>
      <c r="B258" s="135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</row>
    <row r="259" spans="1:42">
      <c r="A259" s="136"/>
      <c r="B259" s="135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</row>
    <row r="260" spans="1:42">
      <c r="A260" s="136"/>
      <c r="B260" s="135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</row>
    <row r="261" spans="1:42">
      <c r="A261" s="136"/>
      <c r="B261" s="135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</row>
    <row r="262" spans="1:42">
      <c r="A262" s="136"/>
      <c r="B262" s="135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</row>
    <row r="263" spans="1:42">
      <c r="A263" s="136"/>
      <c r="B263" s="135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</row>
    <row r="264" spans="1:42">
      <c r="A264" s="136"/>
      <c r="B264" s="135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</row>
    <row r="265" spans="1:42">
      <c r="A265" s="136"/>
      <c r="B265" s="135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</row>
    <row r="266" spans="1:42">
      <c r="A266" s="136"/>
      <c r="B266" s="135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</row>
    <row r="267" spans="1:42">
      <c r="A267" s="136"/>
      <c r="B267" s="135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</row>
    <row r="268" spans="1:42">
      <c r="A268" s="136"/>
      <c r="B268" s="135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</row>
    <row r="269" spans="1:42">
      <c r="A269" s="136"/>
      <c r="B269" s="135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</row>
    <row r="270" spans="1:42">
      <c r="A270" s="136"/>
      <c r="B270" s="135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</row>
    <row r="271" spans="1:42">
      <c r="A271" s="136"/>
      <c r="B271" s="135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</row>
    <row r="272" spans="1:42">
      <c r="A272" s="136"/>
      <c r="B272" s="135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</row>
    <row r="273" spans="1:42">
      <c r="A273" s="136"/>
      <c r="B273" s="135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</row>
    <row r="274" spans="1:42">
      <c r="A274" s="136"/>
      <c r="B274" s="135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</row>
    <row r="275" spans="1:42">
      <c r="A275" s="136"/>
      <c r="B275" s="135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</row>
    <row r="276" spans="1:42">
      <c r="A276" s="136"/>
      <c r="B276" s="135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</row>
    <row r="277" spans="1:42">
      <c r="A277" s="136"/>
      <c r="B277" s="135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</row>
    <row r="278" spans="1:42">
      <c r="A278" s="136"/>
      <c r="B278" s="135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</row>
    <row r="279" spans="1:42">
      <c r="A279" s="136"/>
      <c r="B279" s="135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</row>
    <row r="280" spans="1:42">
      <c r="A280" s="136"/>
      <c r="B280" s="135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</row>
    <row r="281" spans="1:42">
      <c r="A281" s="136"/>
      <c r="B281" s="135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</row>
    <row r="282" spans="1:42">
      <c r="A282" s="136"/>
      <c r="B282" s="135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</row>
    <row r="283" spans="1:42">
      <c r="A283" s="136"/>
      <c r="B283" s="135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</row>
    <row r="284" spans="1:42">
      <c r="A284" s="136"/>
      <c r="B284" s="135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</row>
    <row r="285" spans="1:42">
      <c r="A285" s="136"/>
      <c r="B285" s="135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</row>
    <row r="286" spans="1:42">
      <c r="A286" s="136"/>
      <c r="B286" s="135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</row>
    <row r="287" spans="1:42">
      <c r="A287" s="136"/>
      <c r="B287" s="135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</row>
    <row r="288" spans="1:42">
      <c r="A288" s="136"/>
      <c r="B288" s="135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</row>
    <row r="289" spans="1:42">
      <c r="A289" s="136"/>
      <c r="B289" s="135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</row>
    <row r="290" spans="1:42">
      <c r="A290" s="136"/>
      <c r="B290" s="135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</row>
    <row r="291" spans="1:42">
      <c r="A291" s="136"/>
      <c r="B291" s="135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</row>
    <row r="292" spans="1:42">
      <c r="A292" s="136"/>
      <c r="B292" s="135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</row>
    <row r="293" spans="1:42">
      <c r="A293" s="136"/>
      <c r="B293" s="135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</row>
    <row r="294" spans="1:42">
      <c r="A294" s="136"/>
      <c r="B294" s="135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</row>
    <row r="295" spans="1:42">
      <c r="A295" s="136"/>
      <c r="B295" s="135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</row>
    <row r="296" spans="1:42">
      <c r="A296" s="136"/>
      <c r="B296" s="135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</row>
    <row r="297" spans="1:42">
      <c r="A297" s="136"/>
      <c r="B297" s="135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</row>
    <row r="298" spans="1:42">
      <c r="A298" s="136"/>
      <c r="B298" s="135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</row>
    <row r="299" spans="1:42">
      <c r="A299" s="136"/>
      <c r="B299" s="135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</row>
    <row r="300" spans="1:42">
      <c r="A300" s="136"/>
      <c r="B300" s="135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</row>
    <row r="301" spans="1:42">
      <c r="A301" s="136"/>
      <c r="B301" s="135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</row>
    <row r="302" spans="1:42">
      <c r="A302" s="136"/>
      <c r="B302" s="135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</row>
    <row r="303" spans="1:42">
      <c r="A303" s="136"/>
      <c r="B303" s="135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</row>
    <row r="304" spans="1:42">
      <c r="A304" s="136"/>
      <c r="B304" s="135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</row>
    <row r="305" spans="1:42">
      <c r="A305" s="136"/>
      <c r="B305" s="135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</row>
    <row r="306" spans="1:42">
      <c r="A306" s="136"/>
      <c r="B306" s="135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</row>
    <row r="307" spans="1:42">
      <c r="A307" s="136"/>
      <c r="B307" s="135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</row>
    <row r="308" spans="1:42">
      <c r="A308" s="136"/>
      <c r="B308" s="135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</row>
    <row r="309" spans="1:42">
      <c r="A309" s="136"/>
      <c r="B309" s="135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</row>
    <row r="310" spans="1:42">
      <c r="A310" s="136"/>
      <c r="B310" s="135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</row>
    <row r="311" spans="1:42">
      <c r="A311" s="136"/>
      <c r="B311" s="135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</row>
    <row r="312" spans="1:42">
      <c r="A312" s="136"/>
      <c r="B312" s="135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</row>
    <row r="313" spans="1:42">
      <c r="A313" s="136"/>
      <c r="B313" s="135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</row>
    <row r="314" spans="1:42">
      <c r="A314" s="136"/>
      <c r="B314" s="135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</row>
    <row r="315" spans="1:42">
      <c r="A315" s="136"/>
      <c r="B315" s="135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</row>
    <row r="316" spans="1:42">
      <c r="A316" s="136"/>
      <c r="B316" s="135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</row>
    <row r="317" spans="1:42">
      <c r="A317" s="136"/>
      <c r="B317" s="135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</row>
    <row r="318" spans="1:42">
      <c r="A318" s="136"/>
      <c r="B318" s="135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</row>
    <row r="319" spans="1:42">
      <c r="A319" s="136"/>
      <c r="B319" s="135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</row>
    <row r="320" spans="1:42">
      <c r="A320" s="136"/>
      <c r="B320" s="135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</row>
    <row r="321" spans="1:42">
      <c r="A321" s="136"/>
      <c r="B321" s="135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</row>
    <row r="322" spans="1:42">
      <c r="A322" s="136"/>
      <c r="B322" s="135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</row>
    <row r="323" spans="1:42">
      <c r="A323" s="136"/>
      <c r="B323" s="135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</row>
    <row r="324" spans="1:42">
      <c r="A324" s="136"/>
      <c r="B324" s="135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</row>
    <row r="325" spans="1:42">
      <c r="A325" s="136"/>
      <c r="B325" s="135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</row>
    <row r="326" spans="1:42">
      <c r="A326" s="136"/>
      <c r="B326" s="135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</row>
    <row r="327" spans="1:42">
      <c r="A327" s="136"/>
      <c r="B327" s="135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</row>
    <row r="328" spans="1:42">
      <c r="A328" s="136"/>
      <c r="B328" s="135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</row>
    <row r="329" spans="1:42">
      <c r="A329" s="136"/>
      <c r="B329" s="135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</row>
    <row r="330" spans="1:42">
      <c r="A330" s="136"/>
      <c r="B330" s="135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</row>
    <row r="331" spans="1:42">
      <c r="A331" s="136"/>
      <c r="B331" s="135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</row>
    <row r="332" spans="1:42">
      <c r="A332" s="136"/>
      <c r="B332" s="135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</row>
    <row r="333" spans="1:42">
      <c r="A333" s="136"/>
      <c r="B333" s="135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</row>
    <row r="334" spans="1:42">
      <c r="A334" s="136"/>
      <c r="B334" s="135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</row>
    <row r="335" spans="1:42"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</row>
    <row r="336" spans="1:42"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</row>
    <row r="337" spans="18:42"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</row>
    <row r="338" spans="18:42"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</row>
    <row r="339" spans="18:42"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</row>
    <row r="340" spans="18:42"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</row>
    <row r="341" spans="18:42"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</row>
    <row r="342" spans="18:42"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</row>
    <row r="343" spans="18:42"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</row>
    <row r="344" spans="18:42"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</row>
    <row r="345" spans="18:42"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</row>
    <row r="346" spans="18:42"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</row>
    <row r="347" spans="18:42"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</row>
    <row r="348" spans="18:42"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</row>
    <row r="349" spans="18:42"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</row>
    <row r="350" spans="18:42"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</row>
    <row r="351" spans="18:42"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</row>
    <row r="352" spans="18:42"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</row>
    <row r="353" spans="18:42"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</row>
    <row r="354" spans="18:42"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</row>
    <row r="355" spans="18:42"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</row>
    <row r="356" spans="18:42"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</row>
    <row r="357" spans="18:42"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</row>
    <row r="358" spans="18:42"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</row>
    <row r="359" spans="18:42"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</row>
    <row r="360" spans="18:42"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</row>
    <row r="361" spans="18:42"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</row>
    <row r="362" spans="18:42"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</row>
    <row r="363" spans="18:42"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</row>
    <row r="364" spans="18:42"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</row>
    <row r="365" spans="18:42"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</row>
    <row r="366" spans="18:42"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</row>
    <row r="367" spans="18:42"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</row>
    <row r="368" spans="18:42"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</row>
    <row r="369" spans="18:42"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</row>
    <row r="370" spans="18:42"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</row>
    <row r="371" spans="18:42"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</row>
    <row r="372" spans="18:42"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</row>
    <row r="373" spans="18:42"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</row>
    <row r="374" spans="18:42"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</row>
    <row r="375" spans="18:42"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</row>
    <row r="376" spans="18:42"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</row>
    <row r="377" spans="18:42"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</row>
    <row r="378" spans="18:42"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</row>
    <row r="379" spans="18:42"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</row>
    <row r="380" spans="18:42"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</row>
    <row r="381" spans="18:42"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</row>
    <row r="382" spans="18:42"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</row>
    <row r="383" spans="18:42"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</row>
    <row r="384" spans="18:42"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</row>
    <row r="385" spans="18:42"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</row>
    <row r="386" spans="18:42"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</row>
    <row r="387" spans="18:42"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</row>
    <row r="388" spans="18:42"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</row>
    <row r="389" spans="18:42"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</row>
    <row r="390" spans="18:42"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</row>
    <row r="391" spans="18:42"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</row>
    <row r="392" spans="18:42"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</row>
    <row r="393" spans="18:42"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</row>
    <row r="394" spans="18:42"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</row>
    <row r="395" spans="18:42"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</row>
    <row r="396" spans="18:42"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</row>
    <row r="397" spans="18:42"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</row>
    <row r="398" spans="18:42"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</row>
    <row r="399" spans="18:42"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</row>
    <row r="400" spans="18:42"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</row>
    <row r="401" spans="18:42"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</row>
    <row r="402" spans="18:42"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</row>
    <row r="403" spans="18:42"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</row>
    <row r="404" spans="18:42"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</row>
    <row r="405" spans="18:42"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</row>
    <row r="406" spans="18:42"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</row>
    <row r="407" spans="18:42"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</row>
    <row r="408" spans="18:42"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</row>
    <row r="409" spans="18:42"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</row>
    <row r="410" spans="18:42"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</row>
    <row r="411" spans="18:42"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</row>
    <row r="412" spans="18:42"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</row>
    <row r="413" spans="18:42"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</row>
    <row r="414" spans="18:42"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</row>
    <row r="415" spans="18:42"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</row>
    <row r="416" spans="18:42"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</row>
    <row r="417" spans="18:42"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</row>
    <row r="418" spans="18:42"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</row>
    <row r="419" spans="18:42"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</row>
    <row r="420" spans="18:42"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</row>
    <row r="421" spans="18:42"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</row>
    <row r="422" spans="18:42"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</row>
    <row r="423" spans="18:42"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</row>
    <row r="424" spans="18:42"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</row>
    <row r="425" spans="18:42"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</row>
    <row r="426" spans="18:42"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</row>
    <row r="427" spans="18:42"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</row>
    <row r="428" spans="18:42"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</row>
    <row r="429" spans="18:42"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</row>
    <row r="430" spans="18:42"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</row>
    <row r="431" spans="18:42"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</row>
    <row r="432" spans="18:42"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</row>
    <row r="433" spans="18:42"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</row>
    <row r="434" spans="18:42"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</row>
    <row r="435" spans="18:42"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</row>
    <row r="436" spans="18:42"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</row>
    <row r="437" spans="18:42"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</row>
    <row r="438" spans="18:42"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</row>
    <row r="439" spans="18:42"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</row>
    <row r="440" spans="18:42"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</row>
    <row r="441" spans="18:42"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</row>
    <row r="442" spans="18:42"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</row>
    <row r="443" spans="18:42"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</row>
    <row r="444" spans="18:42"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</row>
    <row r="445" spans="18:42"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</row>
    <row r="446" spans="18:42"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</row>
    <row r="447" spans="18:42"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</row>
    <row r="448" spans="18:42"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</row>
    <row r="449" spans="18:42"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</row>
    <row r="450" spans="18:42"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</row>
    <row r="451" spans="18:42"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</row>
    <row r="452" spans="18:42"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</row>
    <row r="453" spans="18:42"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</row>
    <row r="454" spans="18:42"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</row>
    <row r="455" spans="18:42"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</row>
    <row r="456" spans="18:42"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</row>
    <row r="457" spans="18:42"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</row>
    <row r="458" spans="18:42"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</row>
    <row r="459" spans="18:42"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</row>
    <row r="460" spans="18:42"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</row>
    <row r="461" spans="18:42"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</row>
    <row r="462" spans="18:42"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</row>
    <row r="463" spans="18:42"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</row>
    <row r="464" spans="18:42"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</row>
    <row r="465" spans="18:42"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</row>
    <row r="466" spans="18:42"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</row>
    <row r="467" spans="18:42"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</row>
    <row r="468" spans="18:42"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</row>
    <row r="469" spans="18:42"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</row>
    <row r="470" spans="18:42"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</row>
    <row r="471" spans="18:42"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</row>
    <row r="472" spans="18:42"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</row>
    <row r="473" spans="18:42"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</row>
    <row r="474" spans="18:42"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</row>
    <row r="475" spans="18:42"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</row>
    <row r="476" spans="18:42"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</row>
    <row r="477" spans="18:42"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</row>
    <row r="478" spans="18:42"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</row>
    <row r="479" spans="18:42"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</row>
    <row r="480" spans="18:42"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</row>
    <row r="481" spans="18:42"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</row>
    <row r="482" spans="18:42"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</row>
    <row r="483" spans="18:42"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</row>
    <row r="484" spans="18:42"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</row>
    <row r="485" spans="18:42"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</row>
    <row r="486" spans="18:42"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</row>
    <row r="487" spans="18:42"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</row>
    <row r="488" spans="18:42"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</row>
    <row r="489" spans="18:42"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</row>
    <row r="490" spans="18:42"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</row>
    <row r="491" spans="18:42"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</row>
    <row r="492" spans="18:42"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</row>
    <row r="493" spans="18:42"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</row>
    <row r="494" spans="18:42"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</row>
    <row r="495" spans="18:42"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</row>
    <row r="496" spans="18:42"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</row>
    <row r="497" spans="18:42"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</row>
    <row r="498" spans="18:42"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</row>
    <row r="499" spans="18:42"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</row>
    <row r="500" spans="18:42"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</row>
    <row r="501" spans="18:42"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</row>
    <row r="502" spans="18:42"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</row>
    <row r="503" spans="18:42"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</row>
    <row r="504" spans="18:42"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</row>
    <row r="505" spans="18:42"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</row>
    <row r="506" spans="18:42"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</row>
    <row r="507" spans="18:42"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</row>
    <row r="508" spans="18:42"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</row>
    <row r="509" spans="18:42"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</row>
    <row r="510" spans="18:42"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</row>
    <row r="511" spans="18:42"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</row>
    <row r="512" spans="18:42"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</row>
    <row r="513" spans="18:42"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</row>
    <row r="514" spans="18:42"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</row>
    <row r="515" spans="18:42"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</row>
    <row r="516" spans="18:42"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</row>
    <row r="517" spans="18:42"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</row>
    <row r="518" spans="18:42"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</row>
    <row r="519" spans="18:42"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</row>
    <row r="520" spans="18:42"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</row>
    <row r="521" spans="18:42"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</row>
    <row r="522" spans="18:42"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</row>
    <row r="523" spans="18:42"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</row>
    <row r="524" spans="18:42"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</row>
    <row r="525" spans="18:42"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</row>
    <row r="526" spans="18:42"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</row>
    <row r="527" spans="18:42"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</row>
    <row r="528" spans="18:42"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</row>
    <row r="529" spans="18:42"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</row>
    <row r="530" spans="18:42"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</row>
    <row r="531" spans="18:42"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</row>
    <row r="532" spans="18:42"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</row>
    <row r="533" spans="18:42"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</row>
    <row r="534" spans="18:42"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</row>
    <row r="535" spans="18:42"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</row>
    <row r="536" spans="18:42"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</row>
    <row r="537" spans="18:42"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</row>
    <row r="538" spans="18:42"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</row>
    <row r="539" spans="18:42"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</row>
    <row r="540" spans="18:42"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</row>
    <row r="541" spans="18:42"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</row>
    <row r="542" spans="18:42"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</row>
    <row r="543" spans="18:42"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</row>
    <row r="544" spans="18:42"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</row>
    <row r="545" spans="18:42"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</row>
    <row r="546" spans="18:42"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</row>
    <row r="547" spans="18:42"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</row>
    <row r="548" spans="18:42"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</row>
    <row r="549" spans="18:42"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</row>
    <row r="550" spans="18:42"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</row>
    <row r="551" spans="18:42"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</row>
    <row r="552" spans="18:42"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</row>
    <row r="553" spans="18:42"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</row>
    <row r="554" spans="18:42"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</row>
    <row r="555" spans="18:42"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</row>
    <row r="556" spans="18:42"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</row>
    <row r="557" spans="18:42"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</row>
    <row r="558" spans="18:42"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</row>
    <row r="559" spans="18:42"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</row>
    <row r="560" spans="18:42"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</row>
    <row r="561" spans="18:42"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</row>
    <row r="562" spans="18:42"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</row>
    <row r="563" spans="18:42"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</row>
    <row r="564" spans="18:42"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</row>
    <row r="565" spans="18:42"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</row>
    <row r="566" spans="18:42"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</row>
    <row r="567" spans="18:42"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</row>
    <row r="568" spans="18:42"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</row>
    <row r="569" spans="18:42"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</row>
    <row r="570" spans="18:42"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</row>
    <row r="571" spans="18:42"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</row>
    <row r="572" spans="18:42"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</row>
    <row r="573" spans="18:42"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</row>
    <row r="574" spans="18:42"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</row>
    <row r="575" spans="18:42"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</row>
    <row r="576" spans="18:42"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</row>
    <row r="577" spans="18:42"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</row>
    <row r="578" spans="18:42"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</row>
    <row r="579" spans="18:42"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</row>
    <row r="580" spans="18:42"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</row>
    <row r="581" spans="18:42"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</row>
    <row r="582" spans="18:42"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</row>
    <row r="583" spans="18:42"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</row>
    <row r="584" spans="18:42"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</row>
    <row r="585" spans="18:42"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</row>
    <row r="586" spans="18:42"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</row>
    <row r="587" spans="18:42"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</row>
    <row r="588" spans="18:42"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</row>
    <row r="589" spans="18:42"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</row>
    <row r="590" spans="18:42"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</row>
    <row r="591" spans="18:42"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</row>
    <row r="592" spans="18:42"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</row>
    <row r="593" spans="18:42"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</row>
    <row r="594" spans="18:42"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</row>
    <row r="595" spans="18:42"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</row>
    <row r="596" spans="18:42"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</row>
    <row r="597" spans="18:42"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</row>
    <row r="598" spans="18:42"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</row>
    <row r="599" spans="18:42"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</row>
    <row r="600" spans="18:42"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</row>
    <row r="601" spans="18:42"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</row>
    <row r="602" spans="18:42"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</row>
    <row r="603" spans="18:42"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</row>
    <row r="604" spans="18:42"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</row>
    <row r="605" spans="18:42"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</row>
    <row r="606" spans="18:42"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</row>
    <row r="607" spans="18:42"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</row>
    <row r="608" spans="18:42"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</row>
    <row r="609" spans="18:42"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</row>
    <row r="610" spans="18:42"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</row>
    <row r="611" spans="18:42"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</row>
    <row r="612" spans="18:42"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</row>
    <row r="613" spans="18:42"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</row>
    <row r="614" spans="18:42"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</row>
    <row r="615" spans="18:42"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</row>
    <row r="616" spans="18:42"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</row>
    <row r="617" spans="18:42"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</row>
    <row r="618" spans="18:42"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</row>
    <row r="619" spans="18:42"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</row>
    <row r="620" spans="18:42"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</row>
    <row r="621" spans="18:42"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</row>
    <row r="622" spans="18:42"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</row>
    <row r="623" spans="18:42"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</row>
    <row r="624" spans="18:42"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</row>
    <row r="625" spans="18:42"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</row>
    <row r="626" spans="18:42"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</row>
    <row r="627" spans="18:42"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</row>
    <row r="628" spans="18:42"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</row>
    <row r="629" spans="18:42"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</row>
    <row r="630" spans="18:42"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</row>
    <row r="631" spans="18:42"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</row>
    <row r="632" spans="18:42"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</row>
    <row r="633" spans="18:42"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</row>
    <row r="634" spans="18:42"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</row>
    <row r="635" spans="18:42"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</row>
    <row r="636" spans="18:42"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</row>
    <row r="637" spans="18:42"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</row>
    <row r="638" spans="18:42"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</row>
    <row r="639" spans="18:42"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</row>
    <row r="640" spans="18:42"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</row>
    <row r="641" spans="18:42"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</row>
    <row r="642" spans="18:42"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</row>
    <row r="643" spans="18:42"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</row>
    <row r="644" spans="18:42"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</row>
    <row r="645" spans="18:42"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</row>
    <row r="646" spans="18:42"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</row>
    <row r="647" spans="18:42"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</row>
    <row r="648" spans="18:42"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</row>
    <row r="649" spans="18:42"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</row>
    <row r="650" spans="18:42"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</row>
    <row r="651" spans="18:42"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</row>
    <row r="652" spans="18:42"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</row>
    <row r="653" spans="18:42"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</row>
    <row r="654" spans="18:42"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</row>
    <row r="655" spans="18:42"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</row>
    <row r="656" spans="18:42"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</row>
    <row r="657" spans="18:42"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</row>
    <row r="658" spans="18:42"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</row>
    <row r="659" spans="18:42"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</row>
    <row r="660" spans="18:42"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</row>
    <row r="661" spans="18:42"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</row>
    <row r="662" spans="18:42"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</row>
    <row r="663" spans="18:42"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</row>
    <row r="664" spans="18:42"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</row>
    <row r="665" spans="18:42"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</row>
    <row r="666" spans="18:42"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</row>
    <row r="667" spans="18:42"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</row>
    <row r="668" spans="18:42"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</row>
    <row r="669" spans="18:42"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</row>
    <row r="670" spans="18:42"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</row>
    <row r="671" spans="18:42"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</row>
    <row r="672" spans="18:42"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</row>
    <row r="673" spans="18:42"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</row>
    <row r="674" spans="18:42"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</row>
    <row r="675" spans="18:42"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</row>
    <row r="676" spans="18:42"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</row>
    <row r="677" spans="18:42"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</row>
    <row r="678" spans="18:42"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</row>
    <row r="679" spans="18:42"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</row>
    <row r="680" spans="18:42"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</row>
    <row r="681" spans="18:42"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</row>
    <row r="682" spans="18:42"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</row>
    <row r="683" spans="18:42"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</row>
    <row r="684" spans="18:42"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</row>
    <row r="685" spans="18:42"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</row>
    <row r="686" spans="18:42"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</row>
    <row r="687" spans="18:42"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</row>
    <row r="688" spans="18:42"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</row>
    <row r="689" spans="18:42"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</row>
    <row r="690" spans="18:42"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</row>
    <row r="691" spans="18:42"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</row>
    <row r="692" spans="18:42"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</row>
    <row r="693" spans="18:42"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</row>
    <row r="694" spans="18:42"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</row>
    <row r="695" spans="18:42"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</row>
    <row r="696" spans="18:42"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</row>
    <row r="697" spans="18:42"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</row>
    <row r="698" spans="18:42"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</row>
    <row r="699" spans="18:42"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</row>
    <row r="700" spans="18:42"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</row>
    <row r="701" spans="18:42"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</row>
    <row r="702" spans="18:42"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</row>
    <row r="703" spans="18:42"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</row>
    <row r="704" spans="18:42"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</row>
    <row r="705" spans="18:42"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</row>
    <row r="706" spans="18:42"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</row>
    <row r="707" spans="18:42"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</row>
    <row r="708" spans="18:42"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</row>
    <row r="709" spans="18:42"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</row>
    <row r="710" spans="18:42"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</row>
    <row r="711" spans="18:42"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</row>
    <row r="712" spans="18:42"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</row>
    <row r="713" spans="18:42"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</row>
    <row r="714" spans="18:42"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</row>
    <row r="715" spans="18:42"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</row>
    <row r="716" spans="18:42"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</row>
    <row r="717" spans="18:42"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</row>
    <row r="718" spans="18:42"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</row>
    <row r="719" spans="18:42"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</row>
    <row r="720" spans="18:42"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</row>
    <row r="721" spans="18:42"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</row>
    <row r="722" spans="18:42"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</row>
    <row r="723" spans="18:42"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</row>
    <row r="724" spans="18:42"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</row>
    <row r="725" spans="18:42"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</row>
    <row r="726" spans="18:42"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</row>
    <row r="727" spans="18:42"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</row>
    <row r="728" spans="18:42"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</row>
    <row r="729" spans="18:42"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</row>
    <row r="730" spans="18:42"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</row>
    <row r="731" spans="18:42"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</row>
    <row r="732" spans="18:42"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</row>
    <row r="733" spans="18:42"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</row>
    <row r="734" spans="18:42"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</row>
    <row r="735" spans="18:42"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</row>
    <row r="736" spans="18:42"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</row>
    <row r="737" spans="18:42"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</row>
    <row r="738" spans="18:42"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</row>
    <row r="739" spans="18:42"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</row>
    <row r="740" spans="18:42"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</row>
    <row r="741" spans="18:42"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</row>
    <row r="742" spans="18:42"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</row>
    <row r="743" spans="18:42"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</row>
    <row r="744" spans="18:42"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</row>
    <row r="745" spans="18:42"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</row>
    <row r="746" spans="18:42"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</row>
    <row r="747" spans="18:42"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</row>
    <row r="748" spans="18:42"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</row>
    <row r="749" spans="18:42"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</row>
    <row r="750" spans="18:42"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</row>
    <row r="751" spans="18:42"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</row>
    <row r="752" spans="18:42"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</row>
    <row r="753" spans="18:42"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</row>
    <row r="754" spans="18:42"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</row>
    <row r="755" spans="18:42"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</row>
    <row r="756" spans="18:42"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</row>
    <row r="757" spans="18:42"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</row>
    <row r="758" spans="18:42"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</row>
    <row r="759" spans="18:42"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</row>
    <row r="760" spans="18:42"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</row>
    <row r="761" spans="18:42"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</row>
    <row r="762" spans="18:42"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</row>
    <row r="763" spans="18:42"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</row>
    <row r="764" spans="18:42"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</row>
    <row r="765" spans="18:42"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</row>
    <row r="766" spans="18:42"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</row>
    <row r="767" spans="18:42"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</row>
    <row r="768" spans="18:42"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</row>
    <row r="769" spans="18:42"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</row>
    <row r="770" spans="18:42"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</row>
    <row r="771" spans="18:42"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</row>
    <row r="772" spans="18:42"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</row>
    <row r="773" spans="18:42"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</row>
    <row r="774" spans="18:42"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</row>
    <row r="775" spans="18:42"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</row>
    <row r="776" spans="18:42"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</row>
    <row r="777" spans="18:42"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</row>
    <row r="778" spans="18:42"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</row>
    <row r="779" spans="18:42"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</row>
    <row r="780" spans="18:42"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</row>
    <row r="781" spans="18:42"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</row>
    <row r="782" spans="18:42"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</row>
    <row r="783" spans="18:42"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</row>
    <row r="784" spans="18:42"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</row>
    <row r="785" spans="18:42"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</row>
    <row r="786" spans="18:42"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</row>
    <row r="787" spans="18:42"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</row>
    <row r="788" spans="18:42"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</row>
    <row r="789" spans="18:42"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</row>
    <row r="790" spans="18:42"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</row>
    <row r="791" spans="18:42"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</row>
    <row r="792" spans="18:42"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</row>
    <row r="793" spans="18:42"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</row>
    <row r="794" spans="18:42"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</row>
    <row r="795" spans="18:42"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</row>
    <row r="796" spans="18:42"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</row>
    <row r="797" spans="18:42"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</row>
    <row r="798" spans="18:42"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</row>
    <row r="799" spans="18:42"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</row>
    <row r="800" spans="18:42"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</row>
    <row r="801" spans="18:42"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</row>
    <row r="802" spans="18:42"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</row>
    <row r="803" spans="18:42"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</row>
    <row r="804" spans="18:42"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</row>
    <row r="805" spans="18:42"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</row>
    <row r="806" spans="18:42"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</row>
    <row r="807" spans="18:42"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</row>
    <row r="808" spans="18:42"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</row>
    <row r="809" spans="18:42"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</row>
    <row r="810" spans="18:42"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</row>
    <row r="811" spans="18:42"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</row>
    <row r="812" spans="18:42"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</row>
    <row r="813" spans="18:42"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</row>
    <row r="814" spans="18:42"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</row>
    <row r="815" spans="18:42"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</row>
    <row r="816" spans="18:42"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</row>
    <row r="817" spans="18:42"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</row>
    <row r="818" spans="18:42"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</row>
    <row r="819" spans="18:42"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</row>
    <row r="820" spans="18:42"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</row>
    <row r="821" spans="18:42"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</row>
    <row r="822" spans="18:42"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</row>
    <row r="823" spans="18:42"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</row>
    <row r="824" spans="18:42"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</row>
    <row r="825" spans="18:42"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</row>
    <row r="826" spans="18:42"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</row>
    <row r="827" spans="18:42"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</row>
    <row r="828" spans="18:42"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</row>
    <row r="829" spans="18:42"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</row>
    <row r="830" spans="18:42"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</row>
    <row r="831" spans="18:42"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</row>
    <row r="832" spans="18:42"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</row>
    <row r="833" spans="18:42"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</row>
    <row r="834" spans="18:42"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</row>
    <row r="835" spans="18:42"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</row>
    <row r="836" spans="18:42"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</row>
    <row r="837" spans="18:42"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</row>
    <row r="838" spans="18:42"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</row>
    <row r="839" spans="18:42"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</row>
    <row r="840" spans="18:42"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</row>
    <row r="841" spans="18:42"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</row>
    <row r="842" spans="18:42"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</row>
    <row r="843" spans="18:42"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</row>
    <row r="844" spans="18:42"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</row>
    <row r="845" spans="18:42"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</row>
    <row r="846" spans="18:42"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</row>
    <row r="847" spans="18:42"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</row>
    <row r="848" spans="18:42"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</row>
    <row r="849" spans="18:42"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</row>
    <row r="850" spans="18:42"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</row>
    <row r="851" spans="18:42"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</row>
    <row r="852" spans="18:42"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</row>
    <row r="853" spans="18:42"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</row>
    <row r="854" spans="18:42"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</row>
    <row r="855" spans="18:42"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</row>
    <row r="856" spans="18:42"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</row>
    <row r="857" spans="18:42"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</row>
    <row r="858" spans="18:42"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</row>
    <row r="859" spans="18:42"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</row>
    <row r="860" spans="18:42"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</row>
    <row r="861" spans="18:42"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</row>
    <row r="862" spans="18:42"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</row>
    <row r="863" spans="18:42"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</row>
    <row r="864" spans="18:42"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</row>
    <row r="865" spans="18:42"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</row>
    <row r="866" spans="18:42"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</row>
    <row r="867" spans="18:42"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</row>
    <row r="868" spans="18:42"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</row>
    <row r="869" spans="18:42"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</row>
    <row r="870" spans="18:42"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</row>
    <row r="871" spans="18:42"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</row>
    <row r="872" spans="18:42"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</row>
    <row r="873" spans="18:42"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</row>
    <row r="874" spans="18:42"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</row>
    <row r="875" spans="18:42"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</row>
    <row r="876" spans="18:42"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</row>
    <row r="877" spans="18:42"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</row>
    <row r="878" spans="18:42"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</row>
    <row r="879" spans="18:42"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</row>
    <row r="880" spans="18:42"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</row>
    <row r="881" spans="18:42"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</row>
    <row r="882" spans="18:42"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</row>
    <row r="883" spans="18:42"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</row>
    <row r="884" spans="18:42"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</row>
    <row r="885" spans="18:42"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</row>
    <row r="886" spans="18:42"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</row>
    <row r="887" spans="18:42"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</row>
    <row r="888" spans="18:42"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</row>
    <row r="889" spans="18:42"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</row>
    <row r="890" spans="18:42"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</row>
    <row r="891" spans="18:42"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</row>
    <row r="892" spans="18:42"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</row>
    <row r="893" spans="18:42"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</row>
    <row r="894" spans="18:42"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</row>
    <row r="895" spans="18:42"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</row>
    <row r="896" spans="18:42"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</row>
    <row r="897" spans="18:42"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</row>
    <row r="898" spans="18:42"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</row>
    <row r="899" spans="18:42"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</row>
    <row r="900" spans="18:42"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</row>
    <row r="901" spans="18:42"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</row>
    <row r="902" spans="18:42"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</row>
    <row r="903" spans="18:42"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</row>
    <row r="904" spans="18:42"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</row>
    <row r="905" spans="18:42"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</row>
    <row r="906" spans="18:42"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</row>
    <row r="907" spans="18:42"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</row>
    <row r="908" spans="18:42"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</row>
    <row r="909" spans="18:42"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</row>
    <row r="910" spans="18:42"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</row>
    <row r="911" spans="18:42"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</row>
    <row r="912" spans="18:42"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</row>
    <row r="913" spans="18:42"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</row>
    <row r="914" spans="18:42"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</row>
    <row r="915" spans="18:42"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</row>
    <row r="916" spans="18:42"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</row>
    <row r="917" spans="18:42"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</row>
    <row r="918" spans="18:42"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</row>
  </sheetData>
  <conditionalFormatting sqref="D3:M3 E4:G4 K4:M4">
    <cfRule type="expression" dxfId="9" priority="10">
      <formula>(OR(D3="Insert Here",D3="",0))</formula>
    </cfRule>
  </conditionalFormatting>
  <conditionalFormatting sqref="I5:I200">
    <cfRule type="expression" dxfId="8" priority="1">
      <formula>($I5="Back to Top")</formula>
    </cfRule>
  </conditionalFormatting>
  <conditionalFormatting sqref="D5:M200">
    <cfRule type="expression" dxfId="7" priority="131">
      <formula>AND($I6&lt;0,$I5&gt;0)</formula>
    </cfRule>
    <cfRule type="expression" dxfId="6" priority="132">
      <formula>($D5=0)</formula>
    </cfRule>
    <cfRule type="expression" dxfId="5" priority="133">
      <formula>IF(D5&lt;&gt;"",ISEVEN(CEILING(ROW()-2,1)/1),)</formula>
    </cfRule>
    <cfRule type="expression" dxfId="4" priority="134">
      <formula>(D5&lt;&gt;"")</formula>
    </cfRule>
  </conditionalFormatting>
  <pageMargins left="0.7" right="0.7" top="0.75" bottom="0.75" header="0.3" footer="0.3"/>
  <pageSetup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B1E23A18-AA8E-46DB-B912-1E7717B2BDA5}">
            <xm:f>IF($N5='Financial Freedom Calculator'!$E$12,1,0)</xm:f>
            <x14:dxf>
              <fill>
                <patternFill>
                  <bgColor rgb="FFFFFFCC"/>
                </patternFill>
              </fill>
            </x14:dxf>
          </x14:cfRule>
          <xm:sqref>N13:O34 N5:N12</xm:sqref>
        </x14:conditionalFormatting>
        <x14:conditionalFormatting xmlns:xm="http://schemas.microsoft.com/office/excel/2006/main">
          <x14:cfRule type="expression" priority="91" id="{B1E23A18-AA8E-46DB-B912-1E7717B2BDA5}">
            <xm:f>IF($N12='Financial Freedom Calculator'!$E$12,1,0)</xm:f>
            <x14:dxf>
              <fill>
                <patternFill>
                  <bgColor rgb="FFFFFFCC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93" id="{B1E23A18-AA8E-46DB-B912-1E7717B2BDA5}">
            <xm:f>IF($N5='Financial Freedom Calculator'!$E$12,1,0)</xm:f>
            <x14:dxf>
              <fill>
                <patternFill>
                  <bgColor rgb="FFFFFFCC"/>
                </patternFill>
              </fill>
            </x14:dxf>
          </x14:cfRule>
          <xm:sqref>O6:O11</xm:sqref>
        </x14:conditionalFormatting>
        <x14:conditionalFormatting xmlns:xm="http://schemas.microsoft.com/office/excel/2006/main">
          <x14:cfRule type="expression" priority="94" id="{B1E23A18-AA8E-46DB-B912-1E7717B2BDA5}">
            <xm:f>IF(#REF!='Financial Freedom Calculator'!$E$12,1,0)</xm:f>
            <x14:dxf>
              <fill>
                <patternFill>
                  <bgColor rgb="FFFFFFCC"/>
                </patternFill>
              </fill>
            </x14:dxf>
          </x14:cfRule>
          <xm:sqref>O5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3D5F6077A2D468DD604A094AEFCEA" ma:contentTypeVersion="13" ma:contentTypeDescription="Create a new document." ma:contentTypeScope="" ma:versionID="ab8bc4a186577d1480d1f5b2a420e941">
  <xsd:schema xmlns:xsd="http://www.w3.org/2001/XMLSchema" xmlns:xs="http://www.w3.org/2001/XMLSchema" xmlns:p="http://schemas.microsoft.com/office/2006/metadata/properties" xmlns:ns3="2bf5ce5a-ecbb-4c9d-a033-0aba727d0806" xmlns:ns4="3fd6aefc-f932-425f-b19a-813bbfdda09c" targetNamespace="http://schemas.microsoft.com/office/2006/metadata/properties" ma:root="true" ma:fieldsID="752ff3b95a827545224b5d4da2a88c6f" ns3:_="" ns4:_="">
    <xsd:import namespace="2bf5ce5a-ecbb-4c9d-a033-0aba727d0806"/>
    <xsd:import namespace="3fd6aefc-f932-425f-b19a-813bbfdda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5ce5a-ecbb-4c9d-a033-0aba727d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6aefc-f932-425f-b19a-813bbfdda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79210-78CA-455B-9803-84BDA0965683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2bf5ce5a-ecbb-4c9d-a033-0aba727d0806"/>
    <ds:schemaRef ds:uri="http://schemas.microsoft.com/office/infopath/2007/PartnerControls"/>
    <ds:schemaRef ds:uri="http://schemas.openxmlformats.org/package/2006/metadata/core-properties"/>
    <ds:schemaRef ds:uri="3fd6aefc-f932-425f-b19a-813bbfdda09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D079DD8-4A68-4DDD-819B-78CEBC965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13ADC-1DE8-4CA2-98E6-F46869592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f5ce5a-ecbb-4c9d-a033-0aba727d0806"/>
    <ds:schemaRef ds:uri="3fd6aefc-f932-425f-b19a-813bbfdda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Financial Freedom Calculator</vt:lpstr>
      <vt:lpstr>Annual Breakdown</vt:lpstr>
      <vt:lpstr>add_savings</vt:lpstr>
      <vt:lpstr>current_portf</vt:lpstr>
      <vt:lpstr>deposits</vt:lpstr>
      <vt:lpstr>future_income</vt:lpstr>
      <vt:lpstr>home</vt:lpstr>
      <vt:lpstr>inflation_rate</vt:lpstr>
      <vt:lpstr>life_span</vt:lpstr>
      <vt:lpstr>return_rate</vt:lpstr>
      <vt:lpstr>years_left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</dc:creator>
  <cp:lastModifiedBy>Jay Seabrook</cp:lastModifiedBy>
  <dcterms:created xsi:type="dcterms:W3CDTF">2018-10-31T16:47:09Z</dcterms:created>
  <dcterms:modified xsi:type="dcterms:W3CDTF">2021-04-27T15:34:58Z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0x0101009083D5F6077A2D468DD604A094AEFCEA</vt:lpwstr>
  </property>
</Properties>
</file>